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dobyh\1\1\2024\ФІНПЛАНИ\2024\Звіт за 2024\"/>
    </mc:Choice>
  </mc:AlternateContent>
  <bookViews>
    <workbookView xWindow="0" yWindow="0" windowWidth="28800" windowHeight="12300" tabRatio="838"/>
  </bookViews>
  <sheets>
    <sheet name="Звіт про виконання показ фінпла" sheetId="14" r:id="rId1"/>
    <sheet name="Розшифровка 1 до Формування" sheetId="22" r:id="rId2"/>
    <sheet name="Розшифровка 2 до формування" sheetId="26" r:id="rId3"/>
    <sheet name="Рух грошових коштів  " sheetId="28" r:id="rId4"/>
    <sheet name="Розшифровка кап" sheetId="24" r:id="rId5"/>
    <sheet name="Розшифровка за джерелами" sheetId="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'Звіт про виконання показ фінпла'!$4:$6</definedName>
    <definedName name="_xlnm.Print_Titles" localSheetId="1">'Розшифровка 1 до Формування'!$4:$5</definedName>
    <definedName name="_xlnm.Print_Titles" localSheetId="2">'Розшифровка 2 до формування'!$4:$5</definedName>
    <definedName name="_xlnm.Print_Titles" localSheetId="5">'Розшифровка за джерелами'!$4:$5</definedName>
    <definedName name="_xlnm.Print_Titles" localSheetId="4">'Розшифровка кап'!$3:$4</definedName>
    <definedName name="_xlnm.Print_Titles" localSheetId="3">'Рух грошових коштів  '!$4:$5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0">'Звіт про виконання показ фінпла'!$A$1:$H$149</definedName>
    <definedName name="_xlnm.Print_Area" localSheetId="1">'Розшифровка 1 до Формування'!$A$1:$H$107</definedName>
    <definedName name="_xlnm.Print_Area" localSheetId="2">'Розшифровка 2 до формування'!$A$1:$H$260</definedName>
    <definedName name="_xlnm.Print_Area" localSheetId="5">'Розшифровка за джерелами'!$A$1:$P$235</definedName>
    <definedName name="_xlnm.Print_Area" localSheetId="4">'Розшифровка кап'!$A$1:$G$311</definedName>
    <definedName name="_xlnm.Print_Area" localSheetId="3">'Рух грошових коштів  '!$A$1:$G$213</definedName>
    <definedName name="п" localSheetId="3">'[13]7  Інші витрати'!#REF!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 localSheetId="3">#REF!</definedName>
    <definedName name="р">#REF!</definedName>
    <definedName name="т">[32]Inform!$E$6</definedName>
    <definedName name="тариф">[33]Inform!$G$2</definedName>
    <definedName name="уйцукйцуйу" localSheetId="3">#REF!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 localSheetId="3">#REF!</definedName>
    <definedName name="ш">#REF!</definedName>
  </definedNames>
  <calcPr calcId="162913"/>
</workbook>
</file>

<file path=xl/calcChain.xml><?xml version="1.0" encoding="utf-8"?>
<calcChain xmlns="http://schemas.openxmlformats.org/spreadsheetml/2006/main">
  <c r="D78" i="14" l="1"/>
  <c r="M16" i="26"/>
  <c r="P72" i="9" l="1"/>
  <c r="O72" i="9"/>
  <c r="P71" i="9"/>
  <c r="O71" i="9"/>
  <c r="D77" i="14"/>
  <c r="N9" i="9"/>
  <c r="L9" i="9"/>
  <c r="N72" i="9"/>
  <c r="N71" i="9"/>
  <c r="E8" i="24"/>
  <c r="E305" i="24"/>
  <c r="E298" i="24"/>
  <c r="E25" i="28"/>
  <c r="H20" i="28" l="1"/>
  <c r="G210" i="28" l="1"/>
  <c r="F210" i="28"/>
  <c r="G209" i="28"/>
  <c r="F209" i="28"/>
  <c r="G208" i="28"/>
  <c r="F208" i="28"/>
  <c r="G207" i="28"/>
  <c r="F207" i="28"/>
  <c r="G206" i="28"/>
  <c r="F206" i="28"/>
  <c r="G205" i="28"/>
  <c r="F205" i="28"/>
  <c r="G204" i="28"/>
  <c r="F204" i="28"/>
  <c r="G203" i="28"/>
  <c r="F203" i="28"/>
  <c r="G201" i="28"/>
  <c r="F201" i="28"/>
  <c r="G200" i="28"/>
  <c r="F200" i="28"/>
  <c r="G198" i="28"/>
  <c r="F198" i="28"/>
  <c r="G197" i="28"/>
  <c r="F197" i="28"/>
  <c r="G196" i="28"/>
  <c r="F196" i="28"/>
  <c r="G195" i="28"/>
  <c r="F195" i="28"/>
  <c r="G194" i="28"/>
  <c r="F194" i="28"/>
  <c r="G193" i="28"/>
  <c r="F193" i="28"/>
  <c r="G192" i="28"/>
  <c r="F192" i="28"/>
  <c r="G191" i="28"/>
  <c r="F191" i="28"/>
  <c r="G190" i="28"/>
  <c r="F190" i="28"/>
  <c r="G189" i="28"/>
  <c r="F189" i="28"/>
  <c r="G188" i="28"/>
  <c r="F188" i="28"/>
  <c r="G187" i="28"/>
  <c r="F187" i="28"/>
  <c r="G186" i="28"/>
  <c r="F186" i="28"/>
  <c r="G185" i="28"/>
  <c r="F185" i="28"/>
  <c r="G184" i="28"/>
  <c r="F184" i="28"/>
  <c r="G183" i="28"/>
  <c r="F183" i="28"/>
  <c r="G182" i="28"/>
  <c r="F182" i="28"/>
  <c r="G181" i="28"/>
  <c r="F181" i="28"/>
  <c r="G180" i="28"/>
  <c r="F180" i="28"/>
  <c r="G179" i="28"/>
  <c r="F179" i="28"/>
  <c r="G178" i="28"/>
  <c r="F178" i="28"/>
  <c r="G177" i="28"/>
  <c r="F177" i="28"/>
  <c r="G176" i="28"/>
  <c r="F176" i="28"/>
  <c r="G175" i="28"/>
  <c r="F175" i="28"/>
  <c r="G174" i="28"/>
  <c r="F174" i="28"/>
  <c r="G173" i="28"/>
  <c r="F173" i="28"/>
  <c r="G172" i="28"/>
  <c r="F172" i="28"/>
  <c r="G171" i="28"/>
  <c r="F171" i="28"/>
  <c r="G170" i="28"/>
  <c r="F170" i="28"/>
  <c r="G169" i="28"/>
  <c r="F169" i="28"/>
  <c r="G168" i="28"/>
  <c r="F168" i="28"/>
  <c r="G167" i="28"/>
  <c r="F167" i="28"/>
  <c r="G166" i="28"/>
  <c r="F166" i="28"/>
  <c r="G165" i="28"/>
  <c r="F165" i="28"/>
  <c r="G164" i="28"/>
  <c r="F164" i="28"/>
  <c r="G163" i="28"/>
  <c r="F163" i="28"/>
  <c r="G162" i="28"/>
  <c r="F162" i="28"/>
  <c r="G161" i="28"/>
  <c r="F161" i="28"/>
  <c r="G160" i="28"/>
  <c r="F160" i="28"/>
  <c r="G159" i="28"/>
  <c r="F159" i="28"/>
  <c r="G158" i="28"/>
  <c r="F158" i="28"/>
  <c r="G157" i="28"/>
  <c r="F157" i="28"/>
  <c r="G156" i="28"/>
  <c r="F156" i="28"/>
  <c r="G155" i="28"/>
  <c r="F155" i="28"/>
  <c r="G154" i="28"/>
  <c r="F154" i="28"/>
  <c r="G153" i="28"/>
  <c r="F153" i="28"/>
  <c r="G152" i="28"/>
  <c r="F152" i="28"/>
  <c r="G151" i="28"/>
  <c r="F151" i="28"/>
  <c r="G150" i="28"/>
  <c r="F150" i="28"/>
  <c r="G149" i="28"/>
  <c r="F149" i="28"/>
  <c r="G148" i="28"/>
  <c r="F148" i="28"/>
  <c r="G147" i="28"/>
  <c r="F147" i="28"/>
  <c r="G146" i="28"/>
  <c r="F146" i="28"/>
  <c r="G145" i="28"/>
  <c r="F145" i="28"/>
  <c r="G144" i="28"/>
  <c r="F144" i="28"/>
  <c r="G143" i="28"/>
  <c r="F143" i="28"/>
  <c r="G142" i="28"/>
  <c r="F142" i="28"/>
  <c r="G141" i="28"/>
  <c r="F141" i="28"/>
  <c r="G140" i="28"/>
  <c r="F140" i="28"/>
  <c r="G139" i="28"/>
  <c r="F139" i="28"/>
  <c r="G138" i="28"/>
  <c r="F138" i="28"/>
  <c r="G137" i="28"/>
  <c r="F137" i="28"/>
  <c r="G136" i="28"/>
  <c r="F136" i="28"/>
  <c r="G135" i="28"/>
  <c r="F135" i="28"/>
  <c r="G134" i="28"/>
  <c r="F134" i="28"/>
  <c r="G133" i="28"/>
  <c r="F133" i="28"/>
  <c r="G132" i="28"/>
  <c r="F132" i="28"/>
  <c r="G131" i="28"/>
  <c r="F131" i="28"/>
  <c r="G130" i="28"/>
  <c r="F130" i="28"/>
  <c r="G129" i="28"/>
  <c r="F129" i="28"/>
  <c r="G128" i="28"/>
  <c r="F128" i="28"/>
  <c r="G127" i="28"/>
  <c r="F127" i="28"/>
  <c r="G126" i="28"/>
  <c r="F126" i="28"/>
  <c r="G125" i="28"/>
  <c r="F125" i="28"/>
  <c r="G124" i="28"/>
  <c r="F124" i="28"/>
  <c r="G123" i="28"/>
  <c r="F123" i="28"/>
  <c r="G122" i="28"/>
  <c r="F122" i="28"/>
  <c r="G121" i="28"/>
  <c r="F121" i="28"/>
  <c r="G120" i="28"/>
  <c r="F120" i="28"/>
  <c r="G119" i="28"/>
  <c r="F119" i="28"/>
  <c r="G118" i="28"/>
  <c r="F118" i="28"/>
  <c r="G117" i="28"/>
  <c r="F117" i="28"/>
  <c r="G116" i="28"/>
  <c r="F116" i="28"/>
  <c r="G115" i="28"/>
  <c r="F115" i="28"/>
  <c r="G114" i="28"/>
  <c r="F114" i="28"/>
  <c r="G113" i="28"/>
  <c r="F113" i="28"/>
  <c r="G112" i="28"/>
  <c r="F112" i="28"/>
  <c r="G111" i="28"/>
  <c r="F111" i="28"/>
  <c r="G110" i="28"/>
  <c r="F110" i="28"/>
  <c r="G109" i="28"/>
  <c r="F109" i="28"/>
  <c r="G108" i="28"/>
  <c r="F108" i="28"/>
  <c r="G107" i="28"/>
  <c r="F107" i="28"/>
  <c r="G106" i="28"/>
  <c r="F106" i="28"/>
  <c r="G105" i="28"/>
  <c r="F105" i="28"/>
  <c r="G104" i="28"/>
  <c r="F104" i="28"/>
  <c r="G103" i="28"/>
  <c r="F103" i="28"/>
  <c r="G102" i="28"/>
  <c r="F102" i="28"/>
  <c r="G101" i="28"/>
  <c r="F101" i="28"/>
  <c r="G100" i="28"/>
  <c r="F100" i="28"/>
  <c r="G99" i="28"/>
  <c r="F99" i="28"/>
  <c r="G98" i="28"/>
  <c r="F98" i="28"/>
  <c r="G97" i="28"/>
  <c r="F97" i="28"/>
  <c r="G96" i="28"/>
  <c r="F96" i="28"/>
  <c r="G95" i="28"/>
  <c r="F95" i="28"/>
  <c r="G94" i="28"/>
  <c r="F94" i="28"/>
  <c r="G93" i="28"/>
  <c r="F93" i="28"/>
  <c r="G92" i="28"/>
  <c r="F92" i="28"/>
  <c r="G91" i="28"/>
  <c r="F91" i="28"/>
  <c r="G90" i="28"/>
  <c r="F90" i="28"/>
  <c r="G89" i="28"/>
  <c r="F89" i="28"/>
  <c r="G88" i="28"/>
  <c r="F88" i="28"/>
  <c r="G85" i="28"/>
  <c r="F85" i="28"/>
  <c r="G84" i="28"/>
  <c r="F84" i="28"/>
  <c r="G83" i="28"/>
  <c r="F83" i="28"/>
  <c r="G82" i="28"/>
  <c r="F82" i="28"/>
  <c r="G81" i="28"/>
  <c r="F81" i="28"/>
  <c r="G80" i="28"/>
  <c r="F80" i="28"/>
  <c r="G79" i="28"/>
  <c r="F79" i="28"/>
  <c r="G78" i="28"/>
  <c r="F78" i="28"/>
  <c r="G77" i="28"/>
  <c r="F77" i="28"/>
  <c r="G76" i="28"/>
  <c r="F76" i="28"/>
  <c r="G75" i="28"/>
  <c r="F75" i="28"/>
  <c r="G74" i="28"/>
  <c r="F74" i="28"/>
  <c r="G73" i="28"/>
  <c r="F73" i="28"/>
  <c r="G72" i="28"/>
  <c r="F72" i="28"/>
  <c r="G71" i="28"/>
  <c r="F71" i="28"/>
  <c r="G70" i="28"/>
  <c r="F70" i="28"/>
  <c r="G69" i="28"/>
  <c r="F69" i="28"/>
  <c r="G68" i="28"/>
  <c r="F68" i="28"/>
  <c r="G67" i="28"/>
  <c r="F67" i="28"/>
  <c r="G66" i="28"/>
  <c r="F66" i="28"/>
  <c r="G65" i="28"/>
  <c r="F65" i="28"/>
  <c r="G64" i="28"/>
  <c r="F64" i="28"/>
  <c r="G63" i="28"/>
  <c r="F63" i="28"/>
  <c r="G62" i="28"/>
  <c r="F62" i="28"/>
  <c r="G61" i="28"/>
  <c r="F61" i="28"/>
  <c r="G60" i="28"/>
  <c r="F60" i="28"/>
  <c r="G59" i="28"/>
  <c r="F59" i="28"/>
  <c r="G58" i="28"/>
  <c r="F58" i="28"/>
  <c r="G57" i="28"/>
  <c r="F57" i="28"/>
  <c r="G56" i="28"/>
  <c r="F56" i="28"/>
  <c r="G55" i="28"/>
  <c r="F55" i="28"/>
  <c r="G54" i="28"/>
  <c r="F54" i="28"/>
  <c r="G53" i="28"/>
  <c r="F53" i="28"/>
  <c r="G52" i="28"/>
  <c r="F52" i="28"/>
  <c r="G51" i="28"/>
  <c r="F51" i="28"/>
  <c r="G50" i="28"/>
  <c r="F50" i="28"/>
  <c r="G49" i="28"/>
  <c r="F49" i="28"/>
  <c r="G48" i="28"/>
  <c r="F48" i="28"/>
  <c r="G47" i="28"/>
  <c r="F47" i="28"/>
  <c r="G46" i="28"/>
  <c r="F46" i="28"/>
  <c r="G45" i="28"/>
  <c r="F45" i="28"/>
  <c r="G44" i="28"/>
  <c r="F44" i="28"/>
  <c r="G43" i="28"/>
  <c r="F43" i="28"/>
  <c r="G42" i="28"/>
  <c r="F42" i="28"/>
  <c r="G41" i="28"/>
  <c r="F41" i="28"/>
  <c r="G40" i="28"/>
  <c r="F40" i="28"/>
  <c r="G39" i="28"/>
  <c r="F39" i="28"/>
  <c r="G38" i="28"/>
  <c r="F38" i="28"/>
  <c r="G37" i="28"/>
  <c r="F37" i="28"/>
  <c r="G36" i="28"/>
  <c r="F36" i="28"/>
  <c r="G35" i="28"/>
  <c r="F35" i="28"/>
  <c r="G34" i="28"/>
  <c r="F34" i="28"/>
  <c r="G33" i="28"/>
  <c r="F33" i="28"/>
  <c r="G32" i="28"/>
  <c r="F32" i="28"/>
  <c r="G31" i="28"/>
  <c r="F31" i="28"/>
  <c r="G30" i="28"/>
  <c r="F30" i="28"/>
  <c r="G29" i="28"/>
  <c r="F29" i="28"/>
  <c r="G28" i="28"/>
  <c r="F28" i="28"/>
  <c r="G27" i="28"/>
  <c r="F27" i="28"/>
  <c r="G26" i="28"/>
  <c r="F26" i="28"/>
  <c r="G25" i="28"/>
  <c r="F25" i="28"/>
  <c r="G24" i="28"/>
  <c r="F24" i="28"/>
  <c r="H103" i="22"/>
  <c r="G103" i="22"/>
  <c r="H102" i="22"/>
  <c r="G102" i="22"/>
  <c r="H101" i="22"/>
  <c r="G101" i="22"/>
  <c r="H100" i="22"/>
  <c r="G100" i="22"/>
  <c r="H99" i="22"/>
  <c r="G99" i="22"/>
  <c r="H98" i="22"/>
  <c r="G98" i="22"/>
  <c r="H97" i="22"/>
  <c r="G97" i="22"/>
  <c r="H96" i="22"/>
  <c r="G96" i="22"/>
  <c r="H95" i="22"/>
  <c r="G95" i="22"/>
  <c r="H94" i="22"/>
  <c r="G94" i="22"/>
  <c r="H92" i="22"/>
  <c r="G92" i="22"/>
  <c r="H91" i="22"/>
  <c r="G91" i="22"/>
  <c r="H90" i="22"/>
  <c r="G90" i="22"/>
  <c r="H89" i="22"/>
  <c r="G89" i="22"/>
  <c r="H88" i="22"/>
  <c r="G88" i="22"/>
  <c r="H87" i="22"/>
  <c r="G87" i="22"/>
  <c r="H86" i="22"/>
  <c r="G86" i="22"/>
  <c r="H85" i="22"/>
  <c r="G85" i="22"/>
  <c r="H84" i="22"/>
  <c r="G84" i="22"/>
  <c r="H83" i="22"/>
  <c r="G83" i="22"/>
  <c r="H82" i="22"/>
  <c r="G82" i="22"/>
  <c r="H81" i="22"/>
  <c r="G81" i="22"/>
  <c r="H80" i="22"/>
  <c r="G80" i="22"/>
  <c r="H79" i="22"/>
  <c r="G79" i="22"/>
  <c r="H78" i="22"/>
  <c r="G78" i="22"/>
  <c r="H77" i="22"/>
  <c r="G77" i="22"/>
  <c r="H76" i="22"/>
  <c r="G76" i="22"/>
  <c r="H75" i="22"/>
  <c r="G75" i="22"/>
  <c r="H74" i="22"/>
  <c r="G74" i="22"/>
  <c r="H73" i="22"/>
  <c r="G73" i="22"/>
  <c r="H72" i="22"/>
  <c r="G72" i="22"/>
  <c r="H71" i="22"/>
  <c r="G71" i="22"/>
  <c r="H70" i="22"/>
  <c r="G70" i="22"/>
  <c r="H69" i="22"/>
  <c r="G69" i="22"/>
  <c r="H68" i="22"/>
  <c r="G68" i="22"/>
  <c r="H67" i="22"/>
  <c r="G67" i="22"/>
  <c r="H65" i="22"/>
  <c r="G65" i="22"/>
  <c r="H64" i="22"/>
  <c r="G64" i="22"/>
  <c r="H63" i="22"/>
  <c r="G63" i="22"/>
  <c r="H62" i="22"/>
  <c r="G62" i="22"/>
  <c r="H61" i="22"/>
  <c r="G61" i="22"/>
  <c r="H60" i="22"/>
  <c r="G60" i="22"/>
  <c r="H59" i="22"/>
  <c r="G59" i="22"/>
  <c r="H58" i="22"/>
  <c r="G58" i="22"/>
  <c r="H57" i="22"/>
  <c r="G57" i="22"/>
  <c r="H56" i="22"/>
  <c r="G56" i="22"/>
  <c r="H55" i="22"/>
  <c r="G55" i="22"/>
  <c r="H54" i="22"/>
  <c r="G54" i="22"/>
  <c r="H53" i="22"/>
  <c r="G53" i="22"/>
  <c r="H52" i="22"/>
  <c r="G52" i="22"/>
  <c r="H51" i="22"/>
  <c r="G51" i="22"/>
  <c r="H50" i="22"/>
  <c r="G50" i="22"/>
  <c r="H49" i="22"/>
  <c r="G49" i="22"/>
  <c r="H48" i="22"/>
  <c r="G48" i="22"/>
  <c r="H47" i="22"/>
  <c r="G47" i="22"/>
  <c r="H46" i="22"/>
  <c r="G46" i="22"/>
  <c r="H45" i="22"/>
  <c r="G45" i="22"/>
  <c r="H44" i="22"/>
  <c r="G44" i="22"/>
  <c r="H43" i="22"/>
  <c r="G43" i="22"/>
  <c r="H42" i="22"/>
  <c r="G42" i="22"/>
  <c r="H41" i="22"/>
  <c r="G41" i="22"/>
  <c r="H40" i="22"/>
  <c r="G40" i="22"/>
  <c r="H39" i="22"/>
  <c r="G39" i="22"/>
  <c r="H38" i="22"/>
  <c r="G38" i="22"/>
  <c r="H37" i="22"/>
  <c r="G37" i="22"/>
  <c r="H36" i="22"/>
  <c r="G36" i="22"/>
  <c r="H35" i="22"/>
  <c r="G35" i="22"/>
  <c r="H34" i="22"/>
  <c r="G34" i="22"/>
  <c r="H33" i="22"/>
  <c r="G33" i="22"/>
  <c r="H32" i="22"/>
  <c r="G32" i="22"/>
  <c r="H31" i="22"/>
  <c r="G31" i="22"/>
  <c r="H30" i="22"/>
  <c r="G30" i="22"/>
  <c r="H29" i="22"/>
  <c r="G29" i="22"/>
  <c r="H28" i="22"/>
  <c r="G28" i="22"/>
  <c r="H27" i="22"/>
  <c r="G27" i="22"/>
  <c r="H26" i="22"/>
  <c r="G26" i="22"/>
  <c r="H25" i="22"/>
  <c r="G25" i="22"/>
  <c r="H24" i="22"/>
  <c r="G24" i="22"/>
  <c r="H23" i="22"/>
  <c r="G23" i="22"/>
  <c r="M218" i="9"/>
  <c r="M217" i="9"/>
  <c r="M216" i="9"/>
  <c r="P216" i="9" s="1"/>
  <c r="M215" i="9"/>
  <c r="M214" i="9"/>
  <c r="M213" i="9"/>
  <c r="M212" i="9"/>
  <c r="M211" i="9"/>
  <c r="M210" i="9"/>
  <c r="M209" i="9"/>
  <c r="O209" i="9" s="1"/>
  <c r="M208" i="9"/>
  <c r="M207" i="9"/>
  <c r="M206" i="9"/>
  <c r="M205" i="9"/>
  <c r="M204" i="9"/>
  <c r="P204" i="9" s="1"/>
  <c r="M203" i="9"/>
  <c r="M202" i="9"/>
  <c r="M201" i="9"/>
  <c r="M200" i="9"/>
  <c r="M199" i="9"/>
  <c r="M198" i="9"/>
  <c r="M197" i="9"/>
  <c r="O197" i="9" s="1"/>
  <c r="M196" i="9"/>
  <c r="M195" i="9"/>
  <c r="M194" i="9"/>
  <c r="M193" i="9"/>
  <c r="M192" i="9"/>
  <c r="P192" i="9" s="1"/>
  <c r="M191" i="9"/>
  <c r="M190" i="9"/>
  <c r="M189" i="9"/>
  <c r="M188" i="9"/>
  <c r="M187" i="9"/>
  <c r="M186" i="9"/>
  <c r="M185" i="9"/>
  <c r="O185" i="9" s="1"/>
  <c r="M184" i="9"/>
  <c r="M183" i="9"/>
  <c r="M182" i="9"/>
  <c r="M181" i="9"/>
  <c r="M180" i="9"/>
  <c r="P180" i="9" s="1"/>
  <c r="M179" i="9"/>
  <c r="M178" i="9"/>
  <c r="M177" i="9"/>
  <c r="M176" i="9"/>
  <c r="M175" i="9"/>
  <c r="M174" i="9"/>
  <c r="M173" i="9"/>
  <c r="O173" i="9" s="1"/>
  <c r="M172" i="9"/>
  <c r="M171" i="9"/>
  <c r="M170" i="9"/>
  <c r="M169" i="9"/>
  <c r="M168" i="9"/>
  <c r="P168" i="9" s="1"/>
  <c r="M167" i="9"/>
  <c r="M166" i="9"/>
  <c r="M165" i="9"/>
  <c r="M164" i="9"/>
  <c r="M163" i="9"/>
  <c r="M162" i="9"/>
  <c r="M161" i="9"/>
  <c r="O161" i="9" s="1"/>
  <c r="M160" i="9"/>
  <c r="M159" i="9"/>
  <c r="M158" i="9"/>
  <c r="M157" i="9"/>
  <c r="M156" i="9"/>
  <c r="P156" i="9" s="1"/>
  <c r="M155" i="9"/>
  <c r="M154" i="9"/>
  <c r="M153" i="9"/>
  <c r="M152" i="9"/>
  <c r="M151" i="9"/>
  <c r="M150" i="9"/>
  <c r="M149" i="9"/>
  <c r="O149" i="9" s="1"/>
  <c r="M148" i="9"/>
  <c r="M147" i="9"/>
  <c r="M146" i="9"/>
  <c r="M145" i="9"/>
  <c r="M144" i="9"/>
  <c r="P144" i="9" s="1"/>
  <c r="M143" i="9"/>
  <c r="M142" i="9"/>
  <c r="M141" i="9"/>
  <c r="M140" i="9"/>
  <c r="M139" i="9"/>
  <c r="M138" i="9"/>
  <c r="M137" i="9"/>
  <c r="O137" i="9" s="1"/>
  <c r="M136" i="9"/>
  <c r="M135" i="9"/>
  <c r="M134" i="9"/>
  <c r="M133" i="9"/>
  <c r="M132" i="9"/>
  <c r="P132" i="9" s="1"/>
  <c r="M131" i="9"/>
  <c r="M130" i="9"/>
  <c r="M129" i="9"/>
  <c r="M128" i="9"/>
  <c r="M127" i="9"/>
  <c r="M126" i="9"/>
  <c r="M125" i="9"/>
  <c r="O125" i="9" s="1"/>
  <c r="M124" i="9"/>
  <c r="M123" i="9"/>
  <c r="M122" i="9"/>
  <c r="M121" i="9"/>
  <c r="M120" i="9"/>
  <c r="P120" i="9" s="1"/>
  <c r="M119" i="9"/>
  <c r="M118" i="9"/>
  <c r="M117" i="9"/>
  <c r="M116" i="9"/>
  <c r="M115" i="9"/>
  <c r="M114" i="9"/>
  <c r="M113" i="9"/>
  <c r="O113" i="9" s="1"/>
  <c r="M112" i="9"/>
  <c r="M111" i="9"/>
  <c r="M110" i="9"/>
  <c r="M109" i="9"/>
  <c r="M108" i="9"/>
  <c r="P108" i="9" s="1"/>
  <c r="M107" i="9"/>
  <c r="M106" i="9"/>
  <c r="M105" i="9"/>
  <c r="M104" i="9"/>
  <c r="M103" i="9"/>
  <c r="M102" i="9"/>
  <c r="M101" i="9"/>
  <c r="O101" i="9" s="1"/>
  <c r="M100" i="9"/>
  <c r="M99" i="9"/>
  <c r="M98" i="9"/>
  <c r="M97" i="9"/>
  <c r="M96" i="9"/>
  <c r="P96" i="9" s="1"/>
  <c r="M95" i="9"/>
  <c r="M94" i="9"/>
  <c r="M93" i="9"/>
  <c r="M92" i="9"/>
  <c r="M91" i="9"/>
  <c r="M90" i="9"/>
  <c r="M89" i="9"/>
  <c r="O89" i="9" s="1"/>
  <c r="M88" i="9"/>
  <c r="M87" i="9"/>
  <c r="M86" i="9"/>
  <c r="M85" i="9"/>
  <c r="M84" i="9"/>
  <c r="M83" i="9"/>
  <c r="P83" i="9" s="1"/>
  <c r="M82" i="9"/>
  <c r="M81" i="9"/>
  <c r="M80" i="9"/>
  <c r="M79" i="9"/>
  <c r="M78" i="9"/>
  <c r="M77" i="9"/>
  <c r="M76" i="9"/>
  <c r="M75" i="9"/>
  <c r="M74" i="9"/>
  <c r="M73" i="9"/>
  <c r="M70" i="9"/>
  <c r="M69" i="9"/>
  <c r="M68" i="9"/>
  <c r="M67" i="9"/>
  <c r="M66" i="9"/>
  <c r="M65" i="9"/>
  <c r="M64" i="9"/>
  <c r="M63" i="9"/>
  <c r="M62" i="9"/>
  <c r="M61" i="9"/>
  <c r="M60" i="9"/>
  <c r="M59" i="9"/>
  <c r="M58" i="9"/>
  <c r="M57" i="9"/>
  <c r="P57" i="9" s="1"/>
  <c r="M56" i="9"/>
  <c r="M55" i="9"/>
  <c r="M54" i="9"/>
  <c r="M53" i="9"/>
  <c r="M52" i="9"/>
  <c r="M51" i="9"/>
  <c r="P51" i="9" s="1"/>
  <c r="M50" i="9"/>
  <c r="M49" i="9"/>
  <c r="M48" i="9"/>
  <c r="M47" i="9"/>
  <c r="M46" i="9"/>
  <c r="M45" i="9"/>
  <c r="P45" i="9" s="1"/>
  <c r="M44" i="9"/>
  <c r="M43" i="9"/>
  <c r="M42" i="9"/>
  <c r="M41" i="9"/>
  <c r="M40" i="9"/>
  <c r="M39" i="9"/>
  <c r="P39" i="9" s="1"/>
  <c r="M38" i="9"/>
  <c r="M37" i="9"/>
  <c r="M36" i="9"/>
  <c r="M35" i="9"/>
  <c r="M34" i="9"/>
  <c r="M33" i="9"/>
  <c r="P33" i="9" s="1"/>
  <c r="M32" i="9"/>
  <c r="M31" i="9"/>
  <c r="M30" i="9"/>
  <c r="M29" i="9"/>
  <c r="M28" i="9"/>
  <c r="M27" i="9"/>
  <c r="P27" i="9" s="1"/>
  <c r="M26" i="9"/>
  <c r="M25" i="9"/>
  <c r="M24" i="9"/>
  <c r="M23" i="9"/>
  <c r="M22" i="9"/>
  <c r="M21" i="9"/>
  <c r="P21" i="9" s="1"/>
  <c r="M20" i="9"/>
  <c r="M19" i="9"/>
  <c r="M18" i="9"/>
  <c r="M17" i="9"/>
  <c r="M16" i="9"/>
  <c r="M15" i="9"/>
  <c r="P15" i="9" s="1"/>
  <c r="M14" i="9"/>
  <c r="M13" i="9"/>
  <c r="M12" i="9"/>
  <c r="M11" i="9"/>
  <c r="M10" i="9"/>
  <c r="N218" i="9"/>
  <c r="N217" i="9"/>
  <c r="N216" i="9"/>
  <c r="N215" i="9"/>
  <c r="N214" i="9"/>
  <c r="O214" i="9" s="1"/>
  <c r="N213" i="9"/>
  <c r="N212" i="9"/>
  <c r="N211" i="9"/>
  <c r="N210" i="9"/>
  <c r="N209" i="9"/>
  <c r="N208" i="9"/>
  <c r="O208" i="9" s="1"/>
  <c r="N207" i="9"/>
  <c r="N206" i="9"/>
  <c r="N205" i="9"/>
  <c r="N204" i="9"/>
  <c r="N203" i="9"/>
  <c r="N202" i="9"/>
  <c r="O202" i="9" s="1"/>
  <c r="N201" i="9"/>
  <c r="N200" i="9"/>
  <c r="N199" i="9"/>
  <c r="N198" i="9"/>
  <c r="N197" i="9"/>
  <c r="N196" i="9"/>
  <c r="O196" i="9" s="1"/>
  <c r="N195" i="9"/>
  <c r="N194" i="9"/>
  <c r="N193" i="9"/>
  <c r="N192" i="9"/>
  <c r="N191" i="9"/>
  <c r="N190" i="9"/>
  <c r="O190" i="9" s="1"/>
  <c r="N189" i="9"/>
  <c r="N188" i="9"/>
  <c r="N187" i="9"/>
  <c r="N186" i="9"/>
  <c r="N185" i="9"/>
  <c r="N184" i="9"/>
  <c r="O184" i="9" s="1"/>
  <c r="N183" i="9"/>
  <c r="N182" i="9"/>
  <c r="N181" i="9"/>
  <c r="N180" i="9"/>
  <c r="N179" i="9"/>
  <c r="N178" i="9"/>
  <c r="O178" i="9" s="1"/>
  <c r="N177" i="9"/>
  <c r="N176" i="9"/>
  <c r="N175" i="9"/>
  <c r="N174" i="9"/>
  <c r="N173" i="9"/>
  <c r="N172" i="9"/>
  <c r="O172" i="9" s="1"/>
  <c r="N171" i="9"/>
  <c r="N170" i="9"/>
  <c r="N169" i="9"/>
  <c r="N168" i="9"/>
  <c r="N167" i="9"/>
  <c r="N166" i="9"/>
  <c r="O166" i="9" s="1"/>
  <c r="N165" i="9"/>
  <c r="N164" i="9"/>
  <c r="N163" i="9"/>
  <c r="N162" i="9"/>
  <c r="N161" i="9"/>
  <c r="N160" i="9"/>
  <c r="O160" i="9" s="1"/>
  <c r="N159" i="9"/>
  <c r="N158" i="9"/>
  <c r="N157" i="9"/>
  <c r="N156" i="9"/>
  <c r="N155" i="9"/>
  <c r="N154" i="9"/>
  <c r="O154" i="9" s="1"/>
  <c r="N153" i="9"/>
  <c r="N152" i="9"/>
  <c r="N151" i="9"/>
  <c r="N150" i="9"/>
  <c r="N149" i="9"/>
  <c r="N148" i="9"/>
  <c r="O148" i="9" s="1"/>
  <c r="N147" i="9"/>
  <c r="N146" i="9"/>
  <c r="N145" i="9"/>
  <c r="N144" i="9"/>
  <c r="N143" i="9"/>
  <c r="N142" i="9"/>
  <c r="O142" i="9" s="1"/>
  <c r="N141" i="9"/>
  <c r="N140" i="9"/>
  <c r="N139" i="9"/>
  <c r="N138" i="9"/>
  <c r="N137" i="9"/>
  <c r="N136" i="9"/>
  <c r="O136" i="9" s="1"/>
  <c r="N135" i="9"/>
  <c r="N134" i="9"/>
  <c r="N133" i="9"/>
  <c r="N132" i="9"/>
  <c r="N131" i="9"/>
  <c r="N130" i="9"/>
  <c r="O130" i="9" s="1"/>
  <c r="N129" i="9"/>
  <c r="N128" i="9"/>
  <c r="N127" i="9"/>
  <c r="N126" i="9"/>
  <c r="N125" i="9"/>
  <c r="N124" i="9"/>
  <c r="O124" i="9" s="1"/>
  <c r="N123" i="9"/>
  <c r="N122" i="9"/>
  <c r="N121" i="9"/>
  <c r="N120" i="9"/>
  <c r="N119" i="9"/>
  <c r="N118" i="9"/>
  <c r="O118" i="9" s="1"/>
  <c r="N117" i="9"/>
  <c r="N116" i="9"/>
  <c r="N115" i="9"/>
  <c r="N114" i="9"/>
  <c r="N113" i="9"/>
  <c r="N112" i="9"/>
  <c r="O112" i="9" s="1"/>
  <c r="N111" i="9"/>
  <c r="N110" i="9"/>
  <c r="N109" i="9"/>
  <c r="N108" i="9"/>
  <c r="N107" i="9"/>
  <c r="N106" i="9"/>
  <c r="O106" i="9" s="1"/>
  <c r="N105" i="9"/>
  <c r="N104" i="9"/>
  <c r="N103" i="9"/>
  <c r="N102" i="9"/>
  <c r="N101" i="9"/>
  <c r="N100" i="9"/>
  <c r="O100" i="9" s="1"/>
  <c r="N99" i="9"/>
  <c r="N98" i="9"/>
  <c r="N97" i="9"/>
  <c r="N96" i="9"/>
  <c r="N95" i="9"/>
  <c r="N94" i="9"/>
  <c r="O94" i="9" s="1"/>
  <c r="N93" i="9"/>
  <c r="N92" i="9"/>
  <c r="N91" i="9"/>
  <c r="N90" i="9"/>
  <c r="N89" i="9"/>
  <c r="N88" i="9"/>
  <c r="N87" i="9"/>
  <c r="N86" i="9"/>
  <c r="P86" i="9" s="1"/>
  <c r="N85" i="9"/>
  <c r="O85" i="9" s="1"/>
  <c r="N84" i="9"/>
  <c r="N83" i="9"/>
  <c r="N82" i="9"/>
  <c r="N81" i="9"/>
  <c r="N80" i="9"/>
  <c r="P80" i="9" s="1"/>
  <c r="N79" i="9"/>
  <c r="P79" i="9" s="1"/>
  <c r="N78" i="9"/>
  <c r="N77" i="9"/>
  <c r="N76" i="9"/>
  <c r="N75" i="9"/>
  <c r="N74" i="9"/>
  <c r="P74" i="9" s="1"/>
  <c r="N73" i="9"/>
  <c r="O73" i="9" s="1"/>
  <c r="N70" i="9"/>
  <c r="N69" i="9"/>
  <c r="N68" i="9"/>
  <c r="N67" i="9"/>
  <c r="N66" i="9"/>
  <c r="P66" i="9" s="1"/>
  <c r="N65" i="9"/>
  <c r="O65" i="9" s="1"/>
  <c r="N64" i="9"/>
  <c r="N63" i="9"/>
  <c r="N62" i="9"/>
  <c r="N61" i="9"/>
  <c r="N60" i="9"/>
  <c r="O60" i="9" s="1"/>
  <c r="N59" i="9"/>
  <c r="P59" i="9" s="1"/>
  <c r="N58" i="9"/>
  <c r="N57" i="9"/>
  <c r="N56" i="9"/>
  <c r="N55" i="9"/>
  <c r="N54" i="9"/>
  <c r="O54" i="9" s="1"/>
  <c r="N53" i="9"/>
  <c r="O53" i="9" s="1"/>
  <c r="N52" i="9"/>
  <c r="N51" i="9"/>
  <c r="N50" i="9"/>
  <c r="N49" i="9"/>
  <c r="N48" i="9"/>
  <c r="O48" i="9" s="1"/>
  <c r="N47" i="9"/>
  <c r="O47" i="9" s="1"/>
  <c r="N46" i="9"/>
  <c r="N45" i="9"/>
  <c r="N44" i="9"/>
  <c r="N43" i="9"/>
  <c r="N42" i="9"/>
  <c r="O42" i="9" s="1"/>
  <c r="N41" i="9"/>
  <c r="P41" i="9" s="1"/>
  <c r="N40" i="9"/>
  <c r="N39" i="9"/>
  <c r="N38" i="9"/>
  <c r="N37" i="9"/>
  <c r="N36" i="9"/>
  <c r="N35" i="9"/>
  <c r="O35" i="9" s="1"/>
  <c r="N34" i="9"/>
  <c r="N33" i="9"/>
  <c r="N32" i="9"/>
  <c r="N31" i="9"/>
  <c r="N30" i="9"/>
  <c r="N29" i="9"/>
  <c r="O29" i="9" s="1"/>
  <c r="N28" i="9"/>
  <c r="N27" i="9"/>
  <c r="N26" i="9"/>
  <c r="N25" i="9"/>
  <c r="N24" i="9"/>
  <c r="P24" i="9" s="1"/>
  <c r="N23" i="9"/>
  <c r="P23" i="9" s="1"/>
  <c r="N22" i="9"/>
  <c r="N21" i="9"/>
  <c r="N20" i="9"/>
  <c r="N19" i="9"/>
  <c r="N18" i="9"/>
  <c r="P18" i="9" s="1"/>
  <c r="N17" i="9"/>
  <c r="O17" i="9" s="1"/>
  <c r="N16" i="9"/>
  <c r="N15" i="9"/>
  <c r="N14" i="9"/>
  <c r="N13" i="9"/>
  <c r="N12" i="9"/>
  <c r="P12" i="9" s="1"/>
  <c r="N11" i="9"/>
  <c r="O11" i="9" s="1"/>
  <c r="N10" i="9"/>
  <c r="P227" i="9"/>
  <c r="O227" i="9"/>
  <c r="P226" i="9"/>
  <c r="O226" i="9"/>
  <c r="P220" i="9"/>
  <c r="O220" i="9"/>
  <c r="P218" i="9"/>
  <c r="O218" i="9"/>
  <c r="P217" i="9"/>
  <c r="O217" i="9"/>
  <c r="O216" i="9"/>
  <c r="P215" i="9"/>
  <c r="O215" i="9"/>
  <c r="P214" i="9"/>
  <c r="P212" i="9"/>
  <c r="O212" i="9"/>
  <c r="P211" i="9"/>
  <c r="O211" i="9"/>
  <c r="P210" i="9"/>
  <c r="O210" i="9"/>
  <c r="P209" i="9"/>
  <c r="P208" i="9"/>
  <c r="P206" i="9"/>
  <c r="O206" i="9"/>
  <c r="P205" i="9"/>
  <c r="O205" i="9"/>
  <c r="O204" i="9"/>
  <c r="P203" i="9"/>
  <c r="O203" i="9"/>
  <c r="P202" i="9"/>
  <c r="P200" i="9"/>
  <c r="O200" i="9"/>
  <c r="P199" i="9"/>
  <c r="O199" i="9"/>
  <c r="P198" i="9"/>
  <c r="O198" i="9"/>
  <c r="P197" i="9"/>
  <c r="P196" i="9"/>
  <c r="P194" i="9"/>
  <c r="O194" i="9"/>
  <c r="P193" i="9"/>
  <c r="O193" i="9"/>
  <c r="O192" i="9"/>
  <c r="P191" i="9"/>
  <c r="O191" i="9"/>
  <c r="P190" i="9"/>
  <c r="P188" i="9"/>
  <c r="O188" i="9"/>
  <c r="P187" i="9"/>
  <c r="O187" i="9"/>
  <c r="P186" i="9"/>
  <c r="O186" i="9"/>
  <c r="P185" i="9"/>
  <c r="P184" i="9"/>
  <c r="P182" i="9"/>
  <c r="O182" i="9"/>
  <c r="P181" i="9"/>
  <c r="O181" i="9"/>
  <c r="O180" i="9"/>
  <c r="P179" i="9"/>
  <c r="O179" i="9"/>
  <c r="P178" i="9"/>
  <c r="P176" i="9"/>
  <c r="O176" i="9"/>
  <c r="P175" i="9"/>
  <c r="O175" i="9"/>
  <c r="P174" i="9"/>
  <c r="O174" i="9"/>
  <c r="P173" i="9"/>
  <c r="P172" i="9"/>
  <c r="P170" i="9"/>
  <c r="O170" i="9"/>
  <c r="P169" i="9"/>
  <c r="O169" i="9"/>
  <c r="O168" i="9"/>
  <c r="P167" i="9"/>
  <c r="O167" i="9"/>
  <c r="P166" i="9"/>
  <c r="P164" i="9"/>
  <c r="O164" i="9"/>
  <c r="P163" i="9"/>
  <c r="O163" i="9"/>
  <c r="P162" i="9"/>
  <c r="O162" i="9"/>
  <c r="P161" i="9"/>
  <c r="P160" i="9"/>
  <c r="P158" i="9"/>
  <c r="O158" i="9"/>
  <c r="P157" i="9"/>
  <c r="O157" i="9"/>
  <c r="O156" i="9"/>
  <c r="P155" i="9"/>
  <c r="O155" i="9"/>
  <c r="P154" i="9"/>
  <c r="P152" i="9"/>
  <c r="O152" i="9"/>
  <c r="P151" i="9"/>
  <c r="O151" i="9"/>
  <c r="P150" i="9"/>
  <c r="O150" i="9"/>
  <c r="P149" i="9"/>
  <c r="P148" i="9"/>
  <c r="P146" i="9"/>
  <c r="O146" i="9"/>
  <c r="P145" i="9"/>
  <c r="O145" i="9"/>
  <c r="O144" i="9"/>
  <c r="P143" i="9"/>
  <c r="O143" i="9"/>
  <c r="P142" i="9"/>
  <c r="P140" i="9"/>
  <c r="O140" i="9"/>
  <c r="P139" i="9"/>
  <c r="O139" i="9"/>
  <c r="P138" i="9"/>
  <c r="O138" i="9"/>
  <c r="P137" i="9"/>
  <c r="P136" i="9"/>
  <c r="P134" i="9"/>
  <c r="O134" i="9"/>
  <c r="P133" i="9"/>
  <c r="O133" i="9"/>
  <c r="O132" i="9"/>
  <c r="P131" i="9"/>
  <c r="O131" i="9"/>
  <c r="P130" i="9"/>
  <c r="P128" i="9"/>
  <c r="O128" i="9"/>
  <c r="P127" i="9"/>
  <c r="O127" i="9"/>
  <c r="P126" i="9"/>
  <c r="O126" i="9"/>
  <c r="P125" i="9"/>
  <c r="P124" i="9"/>
  <c r="P122" i="9"/>
  <c r="O122" i="9"/>
  <c r="P121" i="9"/>
  <c r="O121" i="9"/>
  <c r="O120" i="9"/>
  <c r="P119" i="9"/>
  <c r="O119" i="9"/>
  <c r="P118" i="9"/>
  <c r="P116" i="9"/>
  <c r="O116" i="9"/>
  <c r="P115" i="9"/>
  <c r="O115" i="9"/>
  <c r="P114" i="9"/>
  <c r="O114" i="9"/>
  <c r="P113" i="9"/>
  <c r="P112" i="9"/>
  <c r="P110" i="9"/>
  <c r="O110" i="9"/>
  <c r="P109" i="9"/>
  <c r="O109" i="9"/>
  <c r="O108" i="9"/>
  <c r="P107" i="9"/>
  <c r="O107" i="9"/>
  <c r="P106" i="9"/>
  <c r="P104" i="9"/>
  <c r="O104" i="9"/>
  <c r="P103" i="9"/>
  <c r="O103" i="9"/>
  <c r="P102" i="9"/>
  <c r="O102" i="9"/>
  <c r="P101" i="9"/>
  <c r="P100" i="9"/>
  <c r="P98" i="9"/>
  <c r="O98" i="9"/>
  <c r="P97" i="9"/>
  <c r="O97" i="9"/>
  <c r="O96" i="9"/>
  <c r="P95" i="9"/>
  <c r="O95" i="9"/>
  <c r="P94" i="9"/>
  <c r="P92" i="9"/>
  <c r="O92" i="9"/>
  <c r="P91" i="9"/>
  <c r="O91" i="9"/>
  <c r="P90" i="9"/>
  <c r="O90" i="9"/>
  <c r="P89" i="9"/>
  <c r="P88" i="9"/>
  <c r="O86" i="9"/>
  <c r="P85" i="9"/>
  <c r="P78" i="9"/>
  <c r="P77" i="9"/>
  <c r="O70" i="9"/>
  <c r="P69" i="9"/>
  <c r="O69" i="9"/>
  <c r="P68" i="9"/>
  <c r="P63" i="9"/>
  <c r="P60" i="9"/>
  <c r="O58" i="9"/>
  <c r="P56" i="9"/>
  <c r="P54" i="9"/>
  <c r="P52" i="9"/>
  <c r="P50" i="9"/>
  <c r="P48" i="9"/>
  <c r="P44" i="9"/>
  <c r="P42" i="9"/>
  <c r="P40" i="9"/>
  <c r="P38" i="9"/>
  <c r="P36" i="9"/>
  <c r="O36" i="9"/>
  <c r="P32" i="9"/>
  <c r="P30" i="9"/>
  <c r="O30" i="9"/>
  <c r="P26" i="9"/>
  <c r="O24" i="9"/>
  <c r="O22" i="9"/>
  <c r="P20" i="9"/>
  <c r="O18" i="9"/>
  <c r="P17" i="9"/>
  <c r="P16" i="9"/>
  <c r="P14" i="9"/>
  <c r="O10" i="9"/>
  <c r="G308" i="24"/>
  <c r="F308" i="24"/>
  <c r="G307" i="24"/>
  <c r="F307" i="24"/>
  <c r="G306" i="24"/>
  <c r="F306" i="24"/>
  <c r="G305" i="24"/>
  <c r="F305" i="24"/>
  <c r="G304" i="24"/>
  <c r="F304" i="24"/>
  <c r="G303" i="24"/>
  <c r="F303" i="24"/>
  <c r="G302" i="24"/>
  <c r="F302" i="24"/>
  <c r="G301" i="24"/>
  <c r="F301" i="24"/>
  <c r="G299" i="24"/>
  <c r="F299" i="24"/>
  <c r="G298" i="24"/>
  <c r="F298" i="24"/>
  <c r="G296" i="24"/>
  <c r="F296" i="24"/>
  <c r="G295" i="24"/>
  <c r="F295" i="24"/>
  <c r="G294" i="24"/>
  <c r="F294" i="24"/>
  <c r="G293" i="24"/>
  <c r="F293" i="24"/>
  <c r="G292" i="24"/>
  <c r="F292" i="24"/>
  <c r="G291" i="24"/>
  <c r="F291" i="24"/>
  <c r="G290" i="24"/>
  <c r="F290" i="24"/>
  <c r="G289" i="24"/>
  <c r="F289" i="24"/>
  <c r="G288" i="24"/>
  <c r="F288" i="24"/>
  <c r="G287" i="24"/>
  <c r="F287" i="24"/>
  <c r="G286" i="24"/>
  <c r="F286" i="24"/>
  <c r="G285" i="24"/>
  <c r="F285" i="24"/>
  <c r="G284" i="24"/>
  <c r="F284" i="24"/>
  <c r="G283" i="24"/>
  <c r="F283" i="24"/>
  <c r="G282" i="24"/>
  <c r="F282" i="24"/>
  <c r="G281" i="24"/>
  <c r="F281" i="24"/>
  <c r="G280" i="24"/>
  <c r="F280" i="24"/>
  <c r="G279" i="24"/>
  <c r="F279" i="24"/>
  <c r="G278" i="24"/>
  <c r="F278" i="24"/>
  <c r="G277" i="24"/>
  <c r="F277" i="24"/>
  <c r="G276" i="24"/>
  <c r="F276" i="24"/>
  <c r="G275" i="24"/>
  <c r="F275" i="24"/>
  <c r="G274" i="24"/>
  <c r="F274" i="24"/>
  <c r="G273" i="24"/>
  <c r="F273" i="24"/>
  <c r="G272" i="24"/>
  <c r="F272" i="24"/>
  <c r="G271" i="24"/>
  <c r="F271" i="24"/>
  <c r="G270" i="24"/>
  <c r="F270" i="24"/>
  <c r="G269" i="24"/>
  <c r="F269" i="24"/>
  <c r="G268" i="24"/>
  <c r="F268" i="24"/>
  <c r="G267" i="24"/>
  <c r="F267" i="24"/>
  <c r="G266" i="24"/>
  <c r="F266" i="24"/>
  <c r="G265" i="24"/>
  <c r="F265" i="24"/>
  <c r="G264" i="24"/>
  <c r="F264" i="24"/>
  <c r="G263" i="24"/>
  <c r="F263" i="24"/>
  <c r="G262" i="24"/>
  <c r="F262" i="24"/>
  <c r="G261" i="24"/>
  <c r="F261" i="24"/>
  <c r="G260" i="24"/>
  <c r="F260" i="24"/>
  <c r="G259" i="24"/>
  <c r="F259" i="24"/>
  <c r="G258" i="24"/>
  <c r="F258" i="24"/>
  <c r="G257" i="24"/>
  <c r="F257" i="24"/>
  <c r="G256" i="24"/>
  <c r="F256" i="24"/>
  <c r="G255" i="24"/>
  <c r="F255" i="24"/>
  <c r="G254" i="24"/>
  <c r="F254" i="24"/>
  <c r="G253" i="24"/>
  <c r="F253" i="24"/>
  <c r="G252" i="24"/>
  <c r="F252" i="24"/>
  <c r="G251" i="24"/>
  <c r="F251" i="24"/>
  <c r="G250" i="24"/>
  <c r="F250" i="24"/>
  <c r="G249" i="24"/>
  <c r="F249" i="24"/>
  <c r="G248" i="24"/>
  <c r="F248" i="24"/>
  <c r="G247" i="24"/>
  <c r="F247" i="24"/>
  <c r="G246" i="24"/>
  <c r="F246" i="24"/>
  <c r="G245" i="24"/>
  <c r="F245" i="24"/>
  <c r="G244" i="24"/>
  <c r="F244" i="24"/>
  <c r="G243" i="24"/>
  <c r="F243" i="24"/>
  <c r="G242" i="24"/>
  <c r="F242" i="24"/>
  <c r="G241" i="24"/>
  <c r="F241" i="24"/>
  <c r="G240" i="24"/>
  <c r="F240" i="24"/>
  <c r="G239" i="24"/>
  <c r="F239" i="24"/>
  <c r="G238" i="24"/>
  <c r="F238" i="24"/>
  <c r="G237" i="24"/>
  <c r="F237" i="24"/>
  <c r="G236" i="24"/>
  <c r="F236" i="24"/>
  <c r="G235" i="24"/>
  <c r="F235" i="24"/>
  <c r="G234" i="24"/>
  <c r="F234" i="24"/>
  <c r="G233" i="24"/>
  <c r="F233" i="24"/>
  <c r="G232" i="24"/>
  <c r="F232" i="24"/>
  <c r="G231" i="24"/>
  <c r="F231" i="24"/>
  <c r="G230" i="24"/>
  <c r="F230" i="24"/>
  <c r="G229" i="24"/>
  <c r="F229" i="24"/>
  <c r="G228" i="24"/>
  <c r="F228" i="24"/>
  <c r="G227" i="24"/>
  <c r="F227" i="24"/>
  <c r="G226" i="24"/>
  <c r="F226" i="24"/>
  <c r="G225" i="24"/>
  <c r="F225" i="24"/>
  <c r="G224" i="24"/>
  <c r="F224" i="24"/>
  <c r="G223" i="24"/>
  <c r="F223" i="24"/>
  <c r="G222" i="24"/>
  <c r="F222" i="24"/>
  <c r="G221" i="24"/>
  <c r="F221" i="24"/>
  <c r="G220" i="24"/>
  <c r="F220" i="24"/>
  <c r="G219" i="24"/>
  <c r="F219" i="24"/>
  <c r="G218" i="24"/>
  <c r="F218" i="24"/>
  <c r="G217" i="24"/>
  <c r="F217" i="24"/>
  <c r="G216" i="24"/>
  <c r="F216" i="24"/>
  <c r="G215" i="24"/>
  <c r="F215" i="24"/>
  <c r="G214" i="24"/>
  <c r="F214" i="24"/>
  <c r="G213" i="24"/>
  <c r="F213" i="24"/>
  <c r="G212" i="24"/>
  <c r="F212" i="24"/>
  <c r="G211" i="24"/>
  <c r="F211" i="24"/>
  <c r="G210" i="24"/>
  <c r="F210" i="24"/>
  <c r="G209" i="24"/>
  <c r="F209" i="24"/>
  <c r="G208" i="24"/>
  <c r="F208" i="24"/>
  <c r="G207" i="24"/>
  <c r="F207" i="24"/>
  <c r="G206" i="24"/>
  <c r="F206" i="24"/>
  <c r="G205" i="24"/>
  <c r="F205" i="24"/>
  <c r="G204" i="24"/>
  <c r="F204" i="24"/>
  <c r="G203" i="24"/>
  <c r="F203" i="24"/>
  <c r="G202" i="24"/>
  <c r="F202" i="24"/>
  <c r="G201" i="24"/>
  <c r="F201" i="24"/>
  <c r="G200" i="24"/>
  <c r="F200" i="24"/>
  <c r="G199" i="24"/>
  <c r="F199" i="24"/>
  <c r="G198" i="24"/>
  <c r="F198" i="24"/>
  <c r="G197" i="24"/>
  <c r="F197" i="24"/>
  <c r="G196" i="24"/>
  <c r="F196" i="24"/>
  <c r="G195" i="24"/>
  <c r="F195" i="24"/>
  <c r="G194" i="24"/>
  <c r="F194" i="24"/>
  <c r="G193" i="24"/>
  <c r="F193" i="24"/>
  <c r="G192" i="24"/>
  <c r="F192" i="24"/>
  <c r="G191" i="24"/>
  <c r="F191" i="24"/>
  <c r="G190" i="24"/>
  <c r="F190" i="24"/>
  <c r="G189" i="24"/>
  <c r="F189" i="24"/>
  <c r="G188" i="24"/>
  <c r="F188" i="24"/>
  <c r="G187" i="24"/>
  <c r="F187" i="24"/>
  <c r="G186" i="24"/>
  <c r="F186" i="24"/>
  <c r="G185" i="24"/>
  <c r="F185" i="24"/>
  <c r="G184" i="24"/>
  <c r="F184" i="24"/>
  <c r="G183" i="24"/>
  <c r="F183" i="24"/>
  <c r="G182" i="24"/>
  <c r="F182" i="24"/>
  <c r="G181" i="24"/>
  <c r="F181" i="24"/>
  <c r="G180" i="24"/>
  <c r="F180" i="24"/>
  <c r="G179" i="24"/>
  <c r="F179" i="24"/>
  <c r="G178" i="24"/>
  <c r="F178" i="24"/>
  <c r="G177" i="24"/>
  <c r="F177" i="24"/>
  <c r="G176" i="24"/>
  <c r="F176" i="24"/>
  <c r="G175" i="24"/>
  <c r="F175" i="24"/>
  <c r="G174" i="24"/>
  <c r="F174" i="24"/>
  <c r="G173" i="24"/>
  <c r="F173" i="24"/>
  <c r="G172" i="24"/>
  <c r="F172" i="24"/>
  <c r="G171" i="24"/>
  <c r="F171" i="24"/>
  <c r="G170" i="24"/>
  <c r="F170" i="24"/>
  <c r="G169" i="24"/>
  <c r="F169" i="24"/>
  <c r="G168" i="24"/>
  <c r="F168" i="24"/>
  <c r="G167" i="24"/>
  <c r="F167" i="24"/>
  <c r="G166" i="24"/>
  <c r="F166" i="24"/>
  <c r="G165" i="24"/>
  <c r="F165" i="24"/>
  <c r="G164" i="24"/>
  <c r="F164" i="24"/>
  <c r="G163" i="24"/>
  <c r="F163" i="24"/>
  <c r="G162" i="24"/>
  <c r="F162" i="24"/>
  <c r="G161" i="24"/>
  <c r="F161" i="24"/>
  <c r="G160" i="24"/>
  <c r="F160" i="24"/>
  <c r="G159" i="24"/>
  <c r="F159" i="24"/>
  <c r="G158" i="24"/>
  <c r="F158" i="24"/>
  <c r="G157" i="24"/>
  <c r="F157" i="24"/>
  <c r="G156" i="24"/>
  <c r="F156" i="24"/>
  <c r="G155" i="24"/>
  <c r="F155" i="24"/>
  <c r="G154" i="24"/>
  <c r="F154" i="24"/>
  <c r="G153" i="24"/>
  <c r="F153" i="24"/>
  <c r="G152" i="24"/>
  <c r="F152" i="24"/>
  <c r="G151" i="24"/>
  <c r="F151" i="24"/>
  <c r="G150" i="24"/>
  <c r="F150" i="24"/>
  <c r="G149" i="24"/>
  <c r="F149" i="24"/>
  <c r="G148" i="24"/>
  <c r="F148" i="24"/>
  <c r="G147" i="24"/>
  <c r="F147" i="24"/>
  <c r="G146" i="24"/>
  <c r="F146" i="24"/>
  <c r="G145" i="24"/>
  <c r="F145" i="24"/>
  <c r="G144" i="24"/>
  <c r="F144" i="24"/>
  <c r="G143" i="24"/>
  <c r="F143" i="24"/>
  <c r="G142" i="24"/>
  <c r="F142" i="24"/>
  <c r="G141" i="24"/>
  <c r="F141" i="24"/>
  <c r="G140" i="24"/>
  <c r="F140" i="24"/>
  <c r="G139" i="24"/>
  <c r="F139" i="24"/>
  <c r="G138" i="24"/>
  <c r="F138" i="24"/>
  <c r="G137" i="24"/>
  <c r="F137" i="24"/>
  <c r="G136" i="24"/>
  <c r="F136" i="24"/>
  <c r="G135" i="24"/>
  <c r="F135" i="24"/>
  <c r="G134" i="24"/>
  <c r="F134" i="24"/>
  <c r="G133" i="24"/>
  <c r="F133" i="24"/>
  <c r="G132" i="24"/>
  <c r="F132" i="24"/>
  <c r="G131" i="24"/>
  <c r="F131" i="24"/>
  <c r="G130" i="24"/>
  <c r="F130" i="24"/>
  <c r="G129" i="24"/>
  <c r="F129" i="24"/>
  <c r="G128" i="24"/>
  <c r="F128" i="24"/>
  <c r="G127" i="24"/>
  <c r="F127" i="24"/>
  <c r="G126" i="24"/>
  <c r="F126" i="24"/>
  <c r="G125" i="24"/>
  <c r="F125" i="24"/>
  <c r="G124" i="24"/>
  <c r="F124" i="24"/>
  <c r="G123" i="24"/>
  <c r="F123" i="24"/>
  <c r="G122" i="24"/>
  <c r="F122" i="24"/>
  <c r="G121" i="24"/>
  <c r="F121" i="24"/>
  <c r="G120" i="24"/>
  <c r="F120" i="24"/>
  <c r="G119" i="24"/>
  <c r="F119" i="24"/>
  <c r="G118" i="24"/>
  <c r="F118" i="24"/>
  <c r="G117" i="24"/>
  <c r="F117" i="24"/>
  <c r="G116" i="24"/>
  <c r="F116" i="24"/>
  <c r="G115" i="24"/>
  <c r="F115" i="24"/>
  <c r="G114" i="24"/>
  <c r="F114" i="24"/>
  <c r="G113" i="24"/>
  <c r="F113" i="24"/>
  <c r="G112" i="24"/>
  <c r="F112" i="24"/>
  <c r="G111" i="24"/>
  <c r="F111" i="24"/>
  <c r="G110" i="24"/>
  <c r="F110" i="24"/>
  <c r="G109" i="24"/>
  <c r="F109" i="24"/>
  <c r="G108" i="24"/>
  <c r="F108" i="24"/>
  <c r="G107" i="24"/>
  <c r="F107" i="24"/>
  <c r="G106" i="24"/>
  <c r="F106" i="24"/>
  <c r="G105" i="24"/>
  <c r="F105" i="24"/>
  <c r="G104" i="24"/>
  <c r="F104" i="24"/>
  <c r="G103" i="24"/>
  <c r="F103" i="24"/>
  <c r="G102" i="24"/>
  <c r="F102" i="24"/>
  <c r="G101" i="24"/>
  <c r="F101" i="24"/>
  <c r="G100" i="24"/>
  <c r="F100" i="24"/>
  <c r="G99" i="24"/>
  <c r="F99" i="24"/>
  <c r="G98" i="24"/>
  <c r="F98" i="24"/>
  <c r="G97" i="24"/>
  <c r="F97" i="24"/>
  <c r="G94" i="24"/>
  <c r="F94" i="24"/>
  <c r="G93" i="24"/>
  <c r="F93" i="24"/>
  <c r="G92" i="24"/>
  <c r="F92" i="24"/>
  <c r="G91" i="24"/>
  <c r="F91" i="24"/>
  <c r="G90" i="24"/>
  <c r="F90" i="24"/>
  <c r="G89" i="24"/>
  <c r="F89" i="24"/>
  <c r="G88" i="24"/>
  <c r="F88" i="24"/>
  <c r="G87" i="24"/>
  <c r="F87" i="24"/>
  <c r="G86" i="24"/>
  <c r="F86" i="24"/>
  <c r="G85" i="24"/>
  <c r="F85" i="24"/>
  <c r="G84" i="24"/>
  <c r="F84" i="24"/>
  <c r="G83" i="24"/>
  <c r="F83" i="24"/>
  <c r="G82" i="24"/>
  <c r="F82" i="24"/>
  <c r="G81" i="24"/>
  <c r="F81" i="24"/>
  <c r="G80" i="24"/>
  <c r="F80" i="24"/>
  <c r="G79" i="24"/>
  <c r="F79" i="24"/>
  <c r="G78" i="24"/>
  <c r="F78" i="24"/>
  <c r="G77" i="24"/>
  <c r="F77" i="24"/>
  <c r="G76" i="24"/>
  <c r="F76" i="24"/>
  <c r="G75" i="24"/>
  <c r="F75" i="24"/>
  <c r="G74" i="24"/>
  <c r="F74" i="24"/>
  <c r="G73" i="24"/>
  <c r="F73" i="24"/>
  <c r="G72" i="24"/>
  <c r="F72" i="24"/>
  <c r="G71" i="24"/>
  <c r="F71" i="24"/>
  <c r="G70" i="24"/>
  <c r="F70" i="24"/>
  <c r="G69" i="24"/>
  <c r="F69" i="24"/>
  <c r="G68" i="24"/>
  <c r="F68" i="24"/>
  <c r="G67" i="24"/>
  <c r="F67" i="24"/>
  <c r="G66" i="24"/>
  <c r="F66" i="24"/>
  <c r="G65" i="24"/>
  <c r="F65" i="24"/>
  <c r="G64" i="24"/>
  <c r="F64" i="24"/>
  <c r="G63" i="24"/>
  <c r="F63" i="24"/>
  <c r="G62" i="24"/>
  <c r="F62" i="24"/>
  <c r="G61" i="24"/>
  <c r="F61" i="24"/>
  <c r="G60" i="24"/>
  <c r="F60" i="24"/>
  <c r="G59" i="24"/>
  <c r="F59" i="24"/>
  <c r="G58" i="24"/>
  <c r="F58" i="24"/>
  <c r="G57" i="24"/>
  <c r="F57" i="24"/>
  <c r="G56" i="24"/>
  <c r="F56" i="24"/>
  <c r="G55" i="24"/>
  <c r="F55" i="24"/>
  <c r="G54" i="24"/>
  <c r="F54" i="24"/>
  <c r="G53" i="24"/>
  <c r="F53" i="24"/>
  <c r="G52" i="24"/>
  <c r="F52" i="24"/>
  <c r="G51" i="24"/>
  <c r="F51" i="24"/>
  <c r="G50" i="24"/>
  <c r="F50" i="24"/>
  <c r="G49" i="24"/>
  <c r="F49" i="24"/>
  <c r="G48" i="24"/>
  <c r="F48" i="24"/>
  <c r="G47" i="24"/>
  <c r="F47" i="24"/>
  <c r="G46" i="24"/>
  <c r="F46" i="24"/>
  <c r="G45" i="24"/>
  <c r="F45" i="24"/>
  <c r="G44" i="24"/>
  <c r="F44" i="24"/>
  <c r="G43" i="24"/>
  <c r="F43" i="24"/>
  <c r="G42" i="24"/>
  <c r="F42" i="24"/>
  <c r="G41" i="24"/>
  <c r="F41" i="24"/>
  <c r="G40" i="24"/>
  <c r="F40" i="24"/>
  <c r="G39" i="24"/>
  <c r="F39" i="24"/>
  <c r="G38" i="24"/>
  <c r="F38" i="24"/>
  <c r="G37" i="24"/>
  <c r="F37" i="24"/>
  <c r="G36" i="24"/>
  <c r="F36" i="24"/>
  <c r="G35" i="24"/>
  <c r="F35" i="24"/>
  <c r="G34" i="24"/>
  <c r="F34" i="24"/>
  <c r="G33" i="24"/>
  <c r="F33" i="24"/>
  <c r="G32" i="24"/>
  <c r="F32" i="24"/>
  <c r="G31" i="24"/>
  <c r="F31" i="24"/>
  <c r="G30" i="24"/>
  <c r="F30" i="24"/>
  <c r="G29" i="24"/>
  <c r="F29" i="24"/>
  <c r="G28" i="24"/>
  <c r="F28" i="24"/>
  <c r="G27" i="24"/>
  <c r="F27" i="24"/>
  <c r="G26" i="24"/>
  <c r="F26" i="24"/>
  <c r="G25" i="24"/>
  <c r="F25" i="24"/>
  <c r="G24" i="24"/>
  <c r="F24" i="24"/>
  <c r="G23" i="24"/>
  <c r="F23" i="24"/>
  <c r="G22" i="24"/>
  <c r="F22" i="24"/>
  <c r="G21" i="24"/>
  <c r="F21" i="24"/>
  <c r="G20" i="24"/>
  <c r="F20" i="24"/>
  <c r="G19" i="24"/>
  <c r="F19" i="24"/>
  <c r="G18" i="24"/>
  <c r="F18" i="24"/>
  <c r="G17" i="24"/>
  <c r="F17" i="24"/>
  <c r="G16" i="24"/>
  <c r="F16" i="24"/>
  <c r="G15" i="24"/>
  <c r="F15" i="24"/>
  <c r="G14" i="24"/>
  <c r="F14" i="24"/>
  <c r="G13" i="24"/>
  <c r="F13" i="24"/>
  <c r="G12" i="24"/>
  <c r="F12" i="24"/>
  <c r="G11" i="24"/>
  <c r="F11" i="24"/>
  <c r="G10" i="24"/>
  <c r="F10" i="24"/>
  <c r="G9" i="24"/>
  <c r="F9" i="24"/>
  <c r="G8" i="24"/>
  <c r="F8" i="24"/>
  <c r="G7" i="24"/>
  <c r="F7" i="24"/>
  <c r="G6" i="24"/>
  <c r="F6" i="24"/>
  <c r="F145" i="14"/>
  <c r="D145" i="14"/>
  <c r="F144" i="14"/>
  <c r="D144" i="14"/>
  <c r="F143" i="14"/>
  <c r="D143" i="14"/>
  <c r="C145" i="14"/>
  <c r="C144" i="14"/>
  <c r="C143" i="14"/>
  <c r="C142" i="14"/>
  <c r="F134" i="14"/>
  <c r="E134" i="14"/>
  <c r="D134" i="14"/>
  <c r="C134" i="14"/>
  <c r="D85" i="14"/>
  <c r="C78" i="14"/>
  <c r="F78" i="14"/>
  <c r="D86" i="14"/>
  <c r="F82" i="14"/>
  <c r="D82" i="14"/>
  <c r="D87" i="14"/>
  <c r="F87" i="14"/>
  <c r="F86" i="14"/>
  <c r="F85" i="14"/>
  <c r="C87" i="14"/>
  <c r="C86" i="14"/>
  <c r="C85" i="14"/>
  <c r="C59" i="14"/>
  <c r="C55" i="14"/>
  <c r="C66" i="14"/>
  <c r="F66" i="14"/>
  <c r="D66" i="14"/>
  <c r="D59" i="14"/>
  <c r="E87" i="14"/>
  <c r="E86" i="14"/>
  <c r="E85" i="14"/>
  <c r="E82" i="14"/>
  <c r="E79" i="14"/>
  <c r="E78" i="14"/>
  <c r="E66" i="14"/>
  <c r="P11" i="9" l="1"/>
  <c r="O45" i="9"/>
  <c r="O57" i="9"/>
  <c r="P65" i="9"/>
  <c r="O80" i="9"/>
  <c r="O16" i="9"/>
  <c r="P22" i="9"/>
  <c r="P28" i="9"/>
  <c r="P34" i="9"/>
  <c r="O40" i="9"/>
  <c r="P46" i="9"/>
  <c r="O52" i="9"/>
  <c r="P58" i="9"/>
  <c r="P64" i="9"/>
  <c r="P70" i="9"/>
  <c r="O78" i="9"/>
  <c r="P84" i="9"/>
  <c r="O33" i="9"/>
  <c r="O66" i="9"/>
  <c r="P73" i="9"/>
  <c r="O21" i="9"/>
  <c r="P47" i="9"/>
  <c r="P53" i="9"/>
  <c r="O74" i="9"/>
  <c r="O83" i="9"/>
  <c r="P29" i="9"/>
  <c r="P35" i="9"/>
  <c r="P62" i="9"/>
  <c r="P76" i="9"/>
  <c r="P82" i="9"/>
  <c r="O15" i="9"/>
  <c r="O27" i="9"/>
  <c r="O39" i="9"/>
  <c r="O51" i="9"/>
  <c r="O63" i="9"/>
  <c r="O77" i="9"/>
  <c r="O23" i="9"/>
  <c r="O28" i="9"/>
  <c r="O41" i="9"/>
  <c r="O59" i="9"/>
  <c r="O64" i="9"/>
  <c r="O79" i="9"/>
  <c r="O14" i="9"/>
  <c r="O20" i="9"/>
  <c r="O26" i="9"/>
  <c r="O32" i="9"/>
  <c r="O38" i="9"/>
  <c r="O44" i="9"/>
  <c r="O50" i="9"/>
  <c r="O56" i="9"/>
  <c r="O62" i="9"/>
  <c r="O68" i="9"/>
  <c r="O76" i="9"/>
  <c r="O82" i="9"/>
  <c r="O88" i="9"/>
  <c r="O46" i="9"/>
  <c r="O84" i="9"/>
  <c r="O34" i="9"/>
  <c r="O12" i="9"/>
  <c r="P10" i="9"/>
  <c r="P13" i="9"/>
  <c r="P19" i="9"/>
  <c r="P25" i="9"/>
  <c r="P31" i="9"/>
  <c r="P37" i="9"/>
  <c r="P43" i="9"/>
  <c r="P49" i="9"/>
  <c r="P55" i="9"/>
  <c r="P61" i="9"/>
  <c r="P67" i="9"/>
  <c r="P75" i="9"/>
  <c r="P81" i="9"/>
  <c r="P87" i="9"/>
  <c r="P93" i="9"/>
  <c r="P99" i="9"/>
  <c r="P105" i="9"/>
  <c r="P111" i="9"/>
  <c r="P117" i="9"/>
  <c r="P123" i="9"/>
  <c r="P129" i="9"/>
  <c r="P135" i="9"/>
  <c r="P141" i="9"/>
  <c r="P147" i="9"/>
  <c r="P153" i="9"/>
  <c r="P159" i="9"/>
  <c r="P165" i="9"/>
  <c r="P171" i="9"/>
  <c r="P177" i="9"/>
  <c r="P183" i="9"/>
  <c r="P189" i="9"/>
  <c r="P195" i="9"/>
  <c r="P201" i="9"/>
  <c r="P207" i="9"/>
  <c r="P213" i="9"/>
  <c r="O13" i="9"/>
  <c r="O19" i="9"/>
  <c r="O25" i="9"/>
  <c r="O31" i="9"/>
  <c r="O37" i="9"/>
  <c r="O43" i="9"/>
  <c r="O49" i="9"/>
  <c r="O55" i="9"/>
  <c r="O61" i="9"/>
  <c r="O67" i="9"/>
  <c r="O75" i="9"/>
  <c r="O81" i="9"/>
  <c r="O87" i="9"/>
  <c r="O93" i="9"/>
  <c r="O99" i="9"/>
  <c r="O105" i="9"/>
  <c r="O111" i="9"/>
  <c r="O117" i="9"/>
  <c r="O123" i="9"/>
  <c r="O129" i="9"/>
  <c r="O135" i="9"/>
  <c r="O141" i="9"/>
  <c r="O147" i="9"/>
  <c r="O153" i="9"/>
  <c r="O159" i="9"/>
  <c r="O165" i="9"/>
  <c r="O171" i="9"/>
  <c r="O177" i="9"/>
  <c r="O183" i="9"/>
  <c r="O189" i="9"/>
  <c r="O195" i="9"/>
  <c r="O201" i="9"/>
  <c r="O207" i="9"/>
  <c r="O213" i="9"/>
  <c r="E125" i="14" l="1"/>
  <c r="C125" i="14"/>
  <c r="E124" i="14"/>
  <c r="C124" i="14"/>
  <c r="F122" i="14"/>
  <c r="D122" i="14" s="1"/>
  <c r="E122" i="14"/>
  <c r="C122" i="14"/>
  <c r="F121" i="14"/>
  <c r="D121" i="14" s="1"/>
  <c r="E121" i="14"/>
  <c r="C121" i="14"/>
  <c r="F120" i="14"/>
  <c r="D120" i="14" s="1"/>
  <c r="E120" i="14"/>
  <c r="C120" i="14"/>
  <c r="E100" i="14"/>
  <c r="C100" i="14"/>
  <c r="E99" i="14"/>
  <c r="C99" i="14"/>
  <c r="F97" i="14"/>
  <c r="D97" i="14"/>
  <c r="F96" i="14"/>
  <c r="D96" i="14" s="1"/>
  <c r="E96" i="14"/>
  <c r="C96" i="14"/>
  <c r="E95" i="14"/>
  <c r="C95" i="14"/>
  <c r="C14" i="14"/>
  <c r="D106" i="14" l="1"/>
  <c r="F106" i="14"/>
  <c r="E106" i="14"/>
  <c r="C106" i="14"/>
  <c r="C82" i="14"/>
  <c r="D92" i="14" l="1"/>
  <c r="F73" i="14"/>
  <c r="D73" i="14" s="1"/>
  <c r="C73" i="14"/>
  <c r="F49" i="14"/>
  <c r="E49" i="14"/>
  <c r="D49" i="14"/>
  <c r="F48" i="14"/>
  <c r="E48" i="14"/>
  <c r="D48" i="14"/>
  <c r="F47" i="14"/>
  <c r="E47" i="14"/>
  <c r="D47" i="14"/>
  <c r="F46" i="14"/>
  <c r="E46" i="14"/>
  <c r="D46" i="14"/>
  <c r="F45" i="14"/>
  <c r="E45" i="14"/>
  <c r="D45" i="14"/>
  <c r="C49" i="14"/>
  <c r="C48" i="14"/>
  <c r="C47" i="14"/>
  <c r="C46" i="14"/>
  <c r="C45" i="14"/>
  <c r="D30" i="14"/>
  <c r="F30" i="14"/>
  <c r="E30" i="14"/>
  <c r="F28" i="14"/>
  <c r="F27" i="14"/>
  <c r="D28" i="14"/>
  <c r="D27" i="14"/>
  <c r="E28" i="14"/>
  <c r="E27" i="14"/>
  <c r="C30" i="14"/>
  <c r="C28" i="14"/>
  <c r="C27" i="14"/>
  <c r="F17" i="14"/>
  <c r="E17" i="14"/>
  <c r="D21" i="14"/>
  <c r="D20" i="14"/>
  <c r="D19" i="14"/>
  <c r="F21" i="14"/>
  <c r="F20" i="14"/>
  <c r="F19" i="14"/>
  <c r="F18" i="14"/>
  <c r="D18" i="14" s="1"/>
  <c r="E21" i="14"/>
  <c r="E20" i="14"/>
  <c r="E19" i="14"/>
  <c r="E18" i="14"/>
  <c r="D17" i="14"/>
  <c r="C21" i="14" l="1"/>
  <c r="C20" i="14"/>
  <c r="C19" i="14"/>
  <c r="C18" i="14"/>
  <c r="C17" i="14"/>
  <c r="D32" i="14"/>
  <c r="F32" i="14"/>
  <c r="E32" i="14"/>
  <c r="C32" i="14"/>
  <c r="D34" i="14"/>
  <c r="F34" i="14"/>
  <c r="E34" i="14"/>
  <c r="C34" i="14"/>
  <c r="D24" i="14"/>
  <c r="F24" i="14"/>
  <c r="E24" i="14"/>
  <c r="C24" i="14"/>
  <c r="H14" i="14"/>
  <c r="G14" i="14"/>
  <c r="H13" i="14"/>
  <c r="G13" i="14"/>
  <c r="H12" i="14"/>
  <c r="G12" i="14"/>
  <c r="H11" i="14"/>
  <c r="G11" i="14"/>
  <c r="D14" i="14"/>
  <c r="D13" i="14"/>
  <c r="D12" i="14"/>
  <c r="D11" i="14"/>
  <c r="D10" i="14"/>
  <c r="F14" i="14"/>
  <c r="F13" i="14"/>
  <c r="F12" i="14"/>
  <c r="F11" i="14"/>
  <c r="F10" i="14"/>
  <c r="E14" i="14"/>
  <c r="E13" i="14"/>
  <c r="E12" i="14"/>
  <c r="E11" i="14"/>
  <c r="E10" i="14"/>
  <c r="C13" i="14"/>
  <c r="C12" i="14"/>
  <c r="C11" i="14"/>
  <c r="C10" i="14"/>
  <c r="D8" i="14"/>
  <c r="F8" i="14"/>
  <c r="E8" i="14"/>
  <c r="C8" i="14"/>
  <c r="E16" i="28" l="1"/>
  <c r="D16" i="28"/>
  <c r="C16" i="28"/>
  <c r="E15" i="28"/>
  <c r="D15" i="28"/>
  <c r="C15" i="28"/>
  <c r="E14" i="28"/>
  <c r="D14" i="28"/>
  <c r="C14" i="28"/>
  <c r="E10" i="28"/>
  <c r="D10" i="28"/>
  <c r="C10" i="28"/>
  <c r="E9" i="28"/>
  <c r="D9" i="28"/>
  <c r="C9" i="28"/>
  <c r="D12" i="28"/>
  <c r="F103" i="22"/>
  <c r="E103" i="22"/>
  <c r="F102" i="22"/>
  <c r="E102" i="22"/>
  <c r="F101" i="22"/>
  <c r="E101" i="22"/>
  <c r="F100" i="22"/>
  <c r="E100" i="22"/>
  <c r="F99" i="22"/>
  <c r="E99" i="22"/>
  <c r="F98" i="22"/>
  <c r="E98" i="22"/>
  <c r="F97" i="22"/>
  <c r="E97" i="22"/>
  <c r="F96" i="22"/>
  <c r="E96" i="22"/>
  <c r="F95" i="22"/>
  <c r="E95" i="22"/>
  <c r="D103" i="22"/>
  <c r="D102" i="22"/>
  <c r="D101" i="22"/>
  <c r="D100" i="22"/>
  <c r="D99" i="22"/>
  <c r="D98" i="22"/>
  <c r="D97" i="22"/>
  <c r="D96" i="22"/>
  <c r="F10" i="28" l="1"/>
  <c r="G10" i="28"/>
  <c r="D95" i="22"/>
  <c r="F76" i="22"/>
  <c r="E76" i="22"/>
  <c r="D76" i="22"/>
  <c r="F78" i="22" l="1"/>
  <c r="E78" i="22"/>
  <c r="D78" i="22"/>
  <c r="D71" i="22"/>
  <c r="F92" i="22"/>
  <c r="E92" i="22"/>
  <c r="F91" i="22"/>
  <c r="E91" i="22"/>
  <c r="F90" i="22"/>
  <c r="E90" i="22"/>
  <c r="F89" i="22"/>
  <c r="E89" i="22"/>
  <c r="F88" i="22"/>
  <c r="E88" i="22"/>
  <c r="F87" i="22"/>
  <c r="E87" i="22"/>
  <c r="F86" i="22"/>
  <c r="E86" i="22"/>
  <c r="F85" i="22"/>
  <c r="E85" i="22"/>
  <c r="F84" i="22"/>
  <c r="E84" i="22"/>
  <c r="F83" i="22"/>
  <c r="E83" i="22"/>
  <c r="F82" i="22"/>
  <c r="E82" i="22"/>
  <c r="F81" i="22"/>
  <c r="E81" i="22"/>
  <c r="F80" i="22"/>
  <c r="E80" i="22"/>
  <c r="F79" i="22"/>
  <c r="E79" i="22"/>
  <c r="F77" i="22"/>
  <c r="E77" i="22"/>
  <c r="F75" i="22"/>
  <c r="E75" i="22"/>
  <c r="F74" i="22"/>
  <c r="E74" i="22"/>
  <c r="F73" i="22"/>
  <c r="E73" i="22"/>
  <c r="F72" i="22"/>
  <c r="E72" i="22"/>
  <c r="D92" i="22"/>
  <c r="D91" i="22"/>
  <c r="D90" i="22"/>
  <c r="D89" i="22"/>
  <c r="D88" i="22"/>
  <c r="D87" i="22"/>
  <c r="D86" i="22"/>
  <c r="D84" i="22"/>
  <c r="D85" i="22"/>
  <c r="D83" i="22"/>
  <c r="D82" i="22"/>
  <c r="D81" i="22"/>
  <c r="D80" i="22"/>
  <c r="D79" i="22"/>
  <c r="D77" i="22"/>
  <c r="D75" i="22"/>
  <c r="D74" i="22"/>
  <c r="D73" i="22"/>
  <c r="D72" i="22"/>
  <c r="F70" i="22"/>
  <c r="E70" i="22"/>
  <c r="F69" i="22"/>
  <c r="E69" i="22"/>
  <c r="F68" i="22"/>
  <c r="E68" i="22"/>
  <c r="D70" i="22"/>
  <c r="D68" i="22"/>
  <c r="D69" i="22"/>
  <c r="E207" i="28"/>
  <c r="E202" i="28" s="1"/>
  <c r="D202" i="28"/>
  <c r="C202" i="28"/>
  <c r="E200" i="28"/>
  <c r="E199" i="28" s="1"/>
  <c r="D199" i="28"/>
  <c r="C199" i="28"/>
  <c r="E88" i="28"/>
  <c r="D88" i="28"/>
  <c r="E97" i="14" s="1"/>
  <c r="C88" i="28"/>
  <c r="C97" i="14" s="1"/>
  <c r="D25" i="28"/>
  <c r="C25" i="28"/>
  <c r="E23" i="28"/>
  <c r="F95" i="14" s="1"/>
  <c r="D95" i="14" s="1"/>
  <c r="D23" i="28"/>
  <c r="C23" i="28"/>
  <c r="G21" i="28"/>
  <c r="F21" i="28"/>
  <c r="G20" i="28"/>
  <c r="F20" i="28"/>
  <c r="E19" i="28"/>
  <c r="G19" i="28" s="1"/>
  <c r="D19" i="28"/>
  <c r="D18" i="28" s="1"/>
  <c r="C19" i="28"/>
  <c r="G17" i="28"/>
  <c r="F17" i="28"/>
  <c r="G16" i="28"/>
  <c r="F16" i="28"/>
  <c r="G15" i="28"/>
  <c r="F15" i="28"/>
  <c r="G14" i="28"/>
  <c r="C13" i="28"/>
  <c r="C75" i="14" s="1"/>
  <c r="D13" i="28"/>
  <c r="E75" i="14" s="1"/>
  <c r="F12" i="28"/>
  <c r="G12" i="28"/>
  <c r="E11" i="28"/>
  <c r="C11" i="28"/>
  <c r="F9" i="28"/>
  <c r="G9" i="28"/>
  <c r="C8" i="28"/>
  <c r="C72" i="14" s="1"/>
  <c r="G202" i="28" l="1"/>
  <c r="F202" i="28"/>
  <c r="F100" i="14"/>
  <c r="D100" i="14" s="1"/>
  <c r="J28" i="28"/>
  <c r="I30" i="28"/>
  <c r="G199" i="28"/>
  <c r="F199" i="28"/>
  <c r="F99" i="14"/>
  <c r="D99" i="14" s="1"/>
  <c r="D22" i="28"/>
  <c r="E22" i="28"/>
  <c r="F22" i="28" s="1"/>
  <c r="C22" i="28"/>
  <c r="C18" i="28" s="1"/>
  <c r="C7" i="28"/>
  <c r="E13" i="28"/>
  <c r="F75" i="14" s="1"/>
  <c r="D75" i="14" s="1"/>
  <c r="D8" i="28"/>
  <c r="E72" i="14" s="1"/>
  <c r="E18" i="28"/>
  <c r="F19" i="28"/>
  <c r="F14" i="28"/>
  <c r="E8" i="28"/>
  <c r="F72" i="14" s="1"/>
  <c r="D72" i="14" s="1"/>
  <c r="D11" i="28"/>
  <c r="F65" i="22"/>
  <c r="E65" i="22"/>
  <c r="D65" i="22"/>
  <c r="D33" i="22" s="1"/>
  <c r="F64" i="22"/>
  <c r="E64" i="22"/>
  <c r="F63" i="22"/>
  <c r="E63" i="22"/>
  <c r="F62" i="22"/>
  <c r="E62" i="22"/>
  <c r="F61" i="22"/>
  <c r="E61" i="22"/>
  <c r="F60" i="22"/>
  <c r="E60" i="22"/>
  <c r="F59" i="22"/>
  <c r="E59" i="22"/>
  <c r="F58" i="22"/>
  <c r="E58" i="22"/>
  <c r="F57" i="22"/>
  <c r="E57" i="22"/>
  <c r="F56" i="22"/>
  <c r="E56" i="22"/>
  <c r="F55" i="22"/>
  <c r="E55" i="22"/>
  <c r="F54" i="22"/>
  <c r="E54" i="22"/>
  <c r="F53" i="22"/>
  <c r="E53" i="22"/>
  <c r="F52" i="22"/>
  <c r="E52" i="22"/>
  <c r="F51" i="22"/>
  <c r="E51" i="22"/>
  <c r="F50" i="22"/>
  <c r="E50" i="22"/>
  <c r="F49" i="22"/>
  <c r="E49" i="22"/>
  <c r="F48" i="22"/>
  <c r="E48" i="22"/>
  <c r="F47" i="22"/>
  <c r="E47" i="22"/>
  <c r="F46" i="22"/>
  <c r="E46" i="22"/>
  <c r="F45" i="22"/>
  <c r="E45" i="22"/>
  <c r="F44" i="22"/>
  <c r="E44" i="22"/>
  <c r="F43" i="22"/>
  <c r="E43" i="22"/>
  <c r="F42" i="22"/>
  <c r="E42" i="22"/>
  <c r="F41" i="22"/>
  <c r="E41" i="22"/>
  <c r="F40" i="22"/>
  <c r="E40" i="22"/>
  <c r="F39" i="22"/>
  <c r="E39" i="22"/>
  <c r="F38" i="22"/>
  <c r="E38" i="22"/>
  <c r="F37" i="22"/>
  <c r="E37" i="22"/>
  <c r="F36" i="22"/>
  <c r="E36" i="22"/>
  <c r="F35" i="22"/>
  <c r="E35" i="22"/>
  <c r="F34" i="22"/>
  <c r="E34" i="22"/>
  <c r="D60" i="22"/>
  <c r="D64" i="22"/>
  <c r="D63" i="22"/>
  <c r="D42" i="22"/>
  <c r="D62" i="22"/>
  <c r="D61" i="22"/>
  <c r="D59" i="22"/>
  <c r="D55" i="22"/>
  <c r="D54" i="22"/>
  <c r="D53" i="22"/>
  <c r="D58" i="22"/>
  <c r="D57" i="22"/>
  <c r="D56" i="22"/>
  <c r="D52" i="22"/>
  <c r="D51" i="22"/>
  <c r="D45" i="22"/>
  <c r="D50" i="22"/>
  <c r="D49" i="22"/>
  <c r="D48" i="22"/>
  <c r="D47" i="22"/>
  <c r="D46" i="22"/>
  <c r="D44" i="22"/>
  <c r="D43" i="22"/>
  <c r="D41" i="22"/>
  <c r="D40" i="22"/>
  <c r="D39" i="22"/>
  <c r="D38" i="22"/>
  <c r="D35" i="22"/>
  <c r="D37" i="22"/>
  <c r="D36" i="22"/>
  <c r="D34" i="22"/>
  <c r="F32" i="22"/>
  <c r="E32" i="22"/>
  <c r="D32" i="22"/>
  <c r="M13" i="26"/>
  <c r="L13" i="26"/>
  <c r="K13" i="26"/>
  <c r="D215" i="26"/>
  <c r="F188" i="26"/>
  <c r="D188" i="26"/>
  <c r="D155" i="26"/>
  <c r="D132" i="26"/>
  <c r="D60" i="26"/>
  <c r="F10" i="26"/>
  <c r="E10" i="26"/>
  <c r="D10" i="26"/>
  <c r="F31" i="22"/>
  <c r="E31" i="22"/>
  <c r="F30" i="22"/>
  <c r="E30" i="22"/>
  <c r="F29" i="22"/>
  <c r="E29" i="22"/>
  <c r="F28" i="22"/>
  <c r="E28" i="22"/>
  <c r="F27" i="22"/>
  <c r="E27" i="22"/>
  <c r="F26" i="22"/>
  <c r="E26" i="22"/>
  <c r="F25" i="22"/>
  <c r="E25" i="22"/>
  <c r="F24" i="22"/>
  <c r="E24" i="22"/>
  <c r="D31" i="22"/>
  <c r="D30" i="22"/>
  <c r="D29" i="22"/>
  <c r="D28" i="22"/>
  <c r="D27" i="22"/>
  <c r="D26" i="22"/>
  <c r="D25" i="22"/>
  <c r="D24" i="22"/>
  <c r="G22" i="28" l="1"/>
  <c r="G11" i="28"/>
  <c r="E73" i="14"/>
  <c r="F11" i="28"/>
  <c r="D7" i="28"/>
  <c r="G8" i="28"/>
  <c r="F8" i="28"/>
  <c r="E7" i="28"/>
  <c r="G13" i="28"/>
  <c r="F13" i="28"/>
  <c r="G18" i="28"/>
  <c r="F18" i="28"/>
  <c r="D23" i="22"/>
  <c r="G7" i="28" l="1"/>
  <c r="F7" i="28"/>
  <c r="M37" i="26"/>
  <c r="L37" i="26"/>
  <c r="M36" i="26"/>
  <c r="L36" i="26"/>
  <c r="M35" i="26"/>
  <c r="L35" i="26"/>
  <c r="M34" i="26"/>
  <c r="L34" i="26"/>
  <c r="K36" i="26"/>
  <c r="K35" i="26"/>
  <c r="K34" i="26"/>
  <c r="M31" i="26"/>
  <c r="L31" i="26"/>
  <c r="M29" i="26"/>
  <c r="L29" i="26"/>
  <c r="M28" i="26"/>
  <c r="L28" i="26"/>
  <c r="M26" i="26"/>
  <c r="L26" i="26"/>
  <c r="K29" i="26"/>
  <c r="K28" i="26"/>
  <c r="M24" i="26"/>
  <c r="L24" i="26"/>
  <c r="M23" i="26"/>
  <c r="L23" i="26"/>
  <c r="M22" i="26"/>
  <c r="L22" i="26"/>
  <c r="M21" i="26"/>
  <c r="L21" i="26"/>
  <c r="M20" i="26"/>
  <c r="L20" i="26"/>
  <c r="M19" i="26"/>
  <c r="L19" i="26"/>
  <c r="K24" i="26"/>
  <c r="K23" i="26"/>
  <c r="K22" i="26"/>
  <c r="K21" i="26"/>
  <c r="K20" i="26"/>
  <c r="K19" i="26"/>
  <c r="M17" i="26"/>
  <c r="L17" i="26"/>
  <c r="L16" i="26"/>
  <c r="M15" i="26"/>
  <c r="L15" i="26"/>
  <c r="M14" i="26"/>
  <c r="L14" i="26"/>
  <c r="M33" i="26"/>
  <c r="M38" i="26" s="1"/>
  <c r="L33" i="26"/>
  <c r="L38" i="26" s="1"/>
  <c r="K16" i="26"/>
  <c r="K15" i="26"/>
  <c r="K14" i="26"/>
  <c r="K33" i="26"/>
  <c r="D110" i="26" l="1"/>
  <c r="K31" i="26" s="1"/>
  <c r="D93" i="26"/>
  <c r="D97" i="26"/>
  <c r="D69" i="26"/>
  <c r="F60" i="26"/>
  <c r="E60" i="26"/>
  <c r="D55" i="26"/>
  <c r="F45" i="26"/>
  <c r="E45" i="26"/>
  <c r="D45" i="26"/>
  <c r="F39" i="26"/>
  <c r="E39" i="26"/>
  <c r="D39" i="26"/>
  <c r="F19" i="26"/>
  <c r="E19" i="26"/>
  <c r="D19" i="26"/>
  <c r="K17" i="26" s="1"/>
  <c r="K37" i="26" l="1"/>
  <c r="K38" i="26" s="1"/>
  <c r="H20" i="22"/>
  <c r="G20" i="22"/>
  <c r="H18" i="22"/>
  <c r="G18" i="22"/>
  <c r="H16" i="22"/>
  <c r="G16" i="22"/>
  <c r="H15" i="22"/>
  <c r="G15" i="22"/>
  <c r="H13" i="22"/>
  <c r="G13" i="22"/>
  <c r="H258" i="26"/>
  <c r="G258" i="26"/>
  <c r="H257" i="26"/>
  <c r="G257" i="26"/>
  <c r="H256" i="26"/>
  <c r="G256" i="26"/>
  <c r="H255" i="26"/>
  <c r="G255" i="26"/>
  <c r="H254" i="26"/>
  <c r="G254" i="26"/>
  <c r="H253" i="26"/>
  <c r="G253" i="26"/>
  <c r="H251" i="26"/>
  <c r="G251" i="26"/>
  <c r="H250" i="26"/>
  <c r="G250" i="26"/>
  <c r="H249" i="26"/>
  <c r="G249" i="26"/>
  <c r="H248" i="26"/>
  <c r="G248" i="26"/>
  <c r="H247" i="26"/>
  <c r="G247" i="26"/>
  <c r="H246" i="26"/>
  <c r="G246" i="26"/>
  <c r="H245" i="26"/>
  <c r="G245" i="26"/>
  <c r="H244" i="26"/>
  <c r="G244" i="26"/>
  <c r="H243" i="26"/>
  <c r="G243" i="26"/>
  <c r="H242" i="26"/>
  <c r="G242" i="26"/>
  <c r="H241" i="26"/>
  <c r="G241" i="26"/>
  <c r="H240" i="26"/>
  <c r="G240" i="26"/>
  <c r="H239" i="26"/>
  <c r="G239" i="26"/>
  <c r="H238" i="26"/>
  <c r="G238" i="26"/>
  <c r="H237" i="26"/>
  <c r="G237" i="26"/>
  <c r="H236" i="26"/>
  <c r="G236" i="26"/>
  <c r="H235" i="26"/>
  <c r="G235" i="26"/>
  <c r="H234" i="26"/>
  <c r="G234" i="26"/>
  <c r="H233" i="26"/>
  <c r="G233" i="26"/>
  <c r="H232" i="26"/>
  <c r="G232" i="26"/>
  <c r="H231" i="26"/>
  <c r="G231" i="26"/>
  <c r="H230" i="26"/>
  <c r="G230" i="26"/>
  <c r="H229" i="26"/>
  <c r="G229" i="26"/>
  <c r="H228" i="26"/>
  <c r="G228" i="26"/>
  <c r="H227" i="26"/>
  <c r="G227" i="26"/>
  <c r="H226" i="26"/>
  <c r="G226" i="26"/>
  <c r="H225" i="26"/>
  <c r="G225" i="26"/>
  <c r="H224" i="26"/>
  <c r="G224" i="26"/>
  <c r="H223" i="26"/>
  <c r="G223" i="26"/>
  <c r="H222" i="26"/>
  <c r="G222" i="26"/>
  <c r="H221" i="26"/>
  <c r="G221" i="26"/>
  <c r="H220" i="26"/>
  <c r="G220" i="26"/>
  <c r="H219" i="26"/>
  <c r="G219" i="26"/>
  <c r="H218" i="26"/>
  <c r="G218" i="26"/>
  <c r="H217" i="26"/>
  <c r="G217" i="26"/>
  <c r="H216" i="26"/>
  <c r="G216" i="26"/>
  <c r="H215" i="26"/>
  <c r="G215" i="26"/>
  <c r="H214" i="26"/>
  <c r="G214" i="26"/>
  <c r="H212" i="26"/>
  <c r="G212" i="26"/>
  <c r="H211" i="26"/>
  <c r="G211" i="26"/>
  <c r="H210" i="26"/>
  <c r="G210" i="26"/>
  <c r="H209" i="26"/>
  <c r="G209" i="26"/>
  <c r="H208" i="26"/>
  <c r="G208" i="26"/>
  <c r="H207" i="26"/>
  <c r="G207" i="26"/>
  <c r="H206" i="26"/>
  <c r="G206" i="26"/>
  <c r="H205" i="26"/>
  <c r="G205" i="26"/>
  <c r="H204" i="26"/>
  <c r="G204" i="26"/>
  <c r="H203" i="26"/>
  <c r="G203" i="26"/>
  <c r="H202" i="26"/>
  <c r="G202" i="26"/>
  <c r="H201" i="26"/>
  <c r="G201" i="26"/>
  <c r="H200" i="26"/>
  <c r="G200" i="26"/>
  <c r="H199" i="26"/>
  <c r="G199" i="26"/>
  <c r="H198" i="26"/>
  <c r="G198" i="26"/>
  <c r="H197" i="26"/>
  <c r="G197" i="26"/>
  <c r="H196" i="26"/>
  <c r="G196" i="26"/>
  <c r="H195" i="26"/>
  <c r="G195" i="26"/>
  <c r="H194" i="26"/>
  <c r="G194" i="26"/>
  <c r="H193" i="26"/>
  <c r="G193" i="26"/>
  <c r="H192" i="26"/>
  <c r="G192" i="26"/>
  <c r="H191" i="26"/>
  <c r="G191" i="26"/>
  <c r="H190" i="26"/>
  <c r="G190" i="26"/>
  <c r="H189" i="26"/>
  <c r="G189" i="26"/>
  <c r="H188" i="26"/>
  <c r="G188" i="26"/>
  <c r="H184" i="26"/>
  <c r="G184" i="26"/>
  <c r="H183" i="26"/>
  <c r="G183" i="26"/>
  <c r="H182" i="26"/>
  <c r="G182" i="26"/>
  <c r="H180" i="26"/>
  <c r="G180" i="26"/>
  <c r="H179" i="26"/>
  <c r="G179" i="26"/>
  <c r="H178" i="26"/>
  <c r="G178" i="26"/>
  <c r="H177" i="26"/>
  <c r="G177" i="26"/>
  <c r="H176" i="26"/>
  <c r="G176" i="26"/>
  <c r="H175" i="26"/>
  <c r="G175" i="26"/>
  <c r="H174" i="26"/>
  <c r="G174" i="26"/>
  <c r="H173" i="26"/>
  <c r="G173" i="26"/>
  <c r="H172" i="26"/>
  <c r="G172" i="26"/>
  <c r="H171" i="26"/>
  <c r="G171" i="26"/>
  <c r="H170" i="26"/>
  <c r="G170" i="26"/>
  <c r="H169" i="26"/>
  <c r="G169" i="26"/>
  <c r="H167" i="26"/>
  <c r="G167" i="26"/>
  <c r="H166" i="26"/>
  <c r="G166" i="26"/>
  <c r="H165" i="26"/>
  <c r="G165" i="26"/>
  <c r="H164" i="26"/>
  <c r="G164" i="26"/>
  <c r="H163" i="26"/>
  <c r="G163" i="26"/>
  <c r="H162" i="26"/>
  <c r="G162" i="26"/>
  <c r="H160" i="26"/>
  <c r="G160" i="26"/>
  <c r="H159" i="26"/>
  <c r="G159" i="26"/>
  <c r="H158" i="26"/>
  <c r="G158" i="26"/>
  <c r="H157" i="26"/>
  <c r="G157" i="26"/>
  <c r="H156" i="26"/>
  <c r="G156" i="26"/>
  <c r="H155" i="26"/>
  <c r="G155" i="26"/>
  <c r="H154" i="26"/>
  <c r="G154" i="26"/>
  <c r="H152" i="26"/>
  <c r="G152" i="26"/>
  <c r="H151" i="26"/>
  <c r="G151" i="26"/>
  <c r="H150" i="26"/>
  <c r="G150" i="26"/>
  <c r="H149" i="26"/>
  <c r="G149" i="26"/>
  <c r="H148" i="26"/>
  <c r="G148" i="26"/>
  <c r="H147" i="26"/>
  <c r="G147" i="26"/>
  <c r="H146" i="26"/>
  <c r="G146" i="26"/>
  <c r="H145" i="26"/>
  <c r="G145" i="26"/>
  <c r="H144" i="26"/>
  <c r="G144" i="26"/>
  <c r="H143" i="26"/>
  <c r="G143" i="26"/>
  <c r="H142" i="26"/>
  <c r="G142" i="26"/>
  <c r="H141" i="26"/>
  <c r="G141" i="26"/>
  <c r="H140" i="26"/>
  <c r="G140" i="26"/>
  <c r="H139" i="26"/>
  <c r="G139" i="26"/>
  <c r="H138" i="26"/>
  <c r="G138" i="26"/>
  <c r="H137" i="26"/>
  <c r="G137" i="26"/>
  <c r="H136" i="26"/>
  <c r="G136" i="26"/>
  <c r="H135" i="26"/>
  <c r="G135" i="26"/>
  <c r="H134" i="26"/>
  <c r="G134" i="26"/>
  <c r="H133" i="26"/>
  <c r="G133" i="26"/>
  <c r="H132" i="26"/>
  <c r="G132" i="26"/>
  <c r="H131" i="26"/>
  <c r="G131" i="26"/>
  <c r="H129" i="26"/>
  <c r="G129" i="26"/>
  <c r="H128" i="26"/>
  <c r="G128" i="26"/>
  <c r="H127" i="26"/>
  <c r="G127" i="26"/>
  <c r="H126" i="26"/>
  <c r="G126" i="26"/>
  <c r="H125" i="26"/>
  <c r="G125" i="26"/>
  <c r="H124" i="26"/>
  <c r="G124" i="26"/>
  <c r="H123" i="26"/>
  <c r="G123" i="26"/>
  <c r="H122" i="26"/>
  <c r="G122" i="26"/>
  <c r="H121" i="26"/>
  <c r="G121" i="26"/>
  <c r="H120" i="26"/>
  <c r="G120" i="26"/>
  <c r="H119" i="26"/>
  <c r="G119" i="26"/>
  <c r="H118" i="26"/>
  <c r="G118" i="26"/>
  <c r="H117" i="26"/>
  <c r="G117" i="26"/>
  <c r="H115" i="26"/>
  <c r="G115" i="26"/>
  <c r="H114" i="26"/>
  <c r="G114" i="26"/>
  <c r="H113" i="26"/>
  <c r="G113" i="26"/>
  <c r="H112" i="26"/>
  <c r="G112" i="26"/>
  <c r="H111" i="26"/>
  <c r="G111" i="26"/>
  <c r="H110" i="26"/>
  <c r="G110" i="26"/>
  <c r="H109" i="26"/>
  <c r="G109" i="26"/>
  <c r="H108" i="26"/>
  <c r="G108" i="26"/>
  <c r="H107" i="26"/>
  <c r="G107" i="26"/>
  <c r="H106" i="26"/>
  <c r="G106" i="26"/>
  <c r="H105" i="26"/>
  <c r="G105" i="26"/>
  <c r="H104" i="26"/>
  <c r="G104" i="26"/>
  <c r="H103" i="26"/>
  <c r="G103" i="26"/>
  <c r="H102" i="26"/>
  <c r="G102" i="26"/>
  <c r="H101" i="26"/>
  <c r="G101" i="26"/>
  <c r="H100" i="26"/>
  <c r="G100" i="26"/>
  <c r="H99" i="26"/>
  <c r="G99" i="26"/>
  <c r="H98" i="26"/>
  <c r="G98" i="26"/>
  <c r="H97" i="26"/>
  <c r="G97" i="26"/>
  <c r="H96" i="26"/>
  <c r="G96" i="26"/>
  <c r="H95" i="26"/>
  <c r="G95" i="26"/>
  <c r="H94" i="26"/>
  <c r="G94" i="26"/>
  <c r="H93" i="26"/>
  <c r="G93" i="26"/>
  <c r="H92" i="26"/>
  <c r="G92" i="26"/>
  <c r="H91" i="26"/>
  <c r="G91" i="26"/>
  <c r="H90" i="26"/>
  <c r="G90" i="26"/>
  <c r="H89" i="26"/>
  <c r="G89" i="26"/>
  <c r="H88" i="26"/>
  <c r="G88" i="26"/>
  <c r="H87" i="26"/>
  <c r="G87" i="26"/>
  <c r="H86" i="26"/>
  <c r="G86" i="26"/>
  <c r="H85" i="26"/>
  <c r="G85" i="26"/>
  <c r="H84" i="26"/>
  <c r="G84" i="26"/>
  <c r="H83" i="26"/>
  <c r="G83" i="26"/>
  <c r="H82" i="26"/>
  <c r="G82" i="26"/>
  <c r="H81" i="26"/>
  <c r="G81" i="26"/>
  <c r="H80" i="26"/>
  <c r="G80" i="26"/>
  <c r="H79" i="26"/>
  <c r="G79" i="26"/>
  <c r="H78" i="26"/>
  <c r="G78" i="26"/>
  <c r="H77" i="26"/>
  <c r="G77" i="26"/>
  <c r="H76" i="26"/>
  <c r="G76" i="26"/>
  <c r="H75" i="26"/>
  <c r="G75" i="26"/>
  <c r="H74" i="26"/>
  <c r="G74" i="26"/>
  <c r="H73" i="26"/>
  <c r="G73" i="26"/>
  <c r="H72" i="26"/>
  <c r="G72" i="26"/>
  <c r="H71" i="26"/>
  <c r="G71" i="26"/>
  <c r="H70" i="26"/>
  <c r="G70" i="26"/>
  <c r="H69" i="26"/>
  <c r="G69" i="26"/>
  <c r="H68" i="26"/>
  <c r="G68" i="26"/>
  <c r="H67" i="26"/>
  <c r="G67" i="26"/>
  <c r="H66" i="26"/>
  <c r="G66" i="26"/>
  <c r="H65" i="26"/>
  <c r="G65" i="26"/>
  <c r="H64" i="26"/>
  <c r="G64" i="26"/>
  <c r="H63" i="26"/>
  <c r="G63" i="26"/>
  <c r="H62" i="26"/>
  <c r="G62" i="26"/>
  <c r="H61" i="26"/>
  <c r="G61" i="26"/>
  <c r="H60" i="26"/>
  <c r="G60" i="26"/>
  <c r="H56" i="26"/>
  <c r="G56" i="26"/>
  <c r="H55" i="26"/>
  <c r="G55" i="26"/>
  <c r="H54" i="26"/>
  <c r="G54" i="26"/>
  <c r="H53" i="26"/>
  <c r="G53" i="26"/>
  <c r="H52" i="26"/>
  <c r="G52" i="26"/>
  <c r="H51" i="26"/>
  <c r="G51" i="26"/>
  <c r="H50" i="26"/>
  <c r="G50" i="26"/>
  <c r="H49" i="26"/>
  <c r="G49" i="26"/>
  <c r="H48" i="26"/>
  <c r="G48" i="26"/>
  <c r="H47" i="26"/>
  <c r="G47" i="26"/>
  <c r="H46" i="26"/>
  <c r="G46" i="26"/>
  <c r="H45" i="26"/>
  <c r="G45" i="26"/>
  <c r="H44" i="26"/>
  <c r="G44" i="26"/>
  <c r="H43" i="26"/>
  <c r="G43" i="26"/>
  <c r="H42" i="26"/>
  <c r="G42" i="26"/>
  <c r="H41" i="26"/>
  <c r="G41" i="26"/>
  <c r="H40" i="26"/>
  <c r="G40" i="26"/>
  <c r="H39" i="26"/>
  <c r="G39" i="26"/>
  <c r="H37" i="26"/>
  <c r="G37" i="26"/>
  <c r="H36" i="26"/>
  <c r="G36" i="26"/>
  <c r="H35" i="26"/>
  <c r="G35" i="26"/>
  <c r="H34" i="26"/>
  <c r="G34" i="26"/>
  <c r="H33" i="26"/>
  <c r="G33" i="26"/>
  <c r="H32" i="26"/>
  <c r="G32" i="26"/>
  <c r="H31" i="26"/>
  <c r="G31" i="26"/>
  <c r="H30" i="26"/>
  <c r="G30" i="26"/>
  <c r="H29" i="26"/>
  <c r="G29" i="26"/>
  <c r="H28" i="26"/>
  <c r="G28" i="26"/>
  <c r="H27" i="26"/>
  <c r="G27" i="26"/>
  <c r="H26" i="26"/>
  <c r="G26" i="26"/>
  <c r="H25" i="26"/>
  <c r="G25" i="26"/>
  <c r="H24" i="26"/>
  <c r="G24" i="26"/>
  <c r="H23" i="26"/>
  <c r="G23" i="26"/>
  <c r="H22" i="26"/>
  <c r="G22" i="26"/>
  <c r="H21" i="26"/>
  <c r="G21" i="26"/>
  <c r="H20" i="26"/>
  <c r="G20" i="26"/>
  <c r="H19" i="26"/>
  <c r="G19" i="26"/>
  <c r="H18" i="26"/>
  <c r="G18" i="26"/>
  <c r="H17" i="26"/>
  <c r="G17" i="26"/>
  <c r="H16" i="26"/>
  <c r="G16" i="26"/>
  <c r="H15" i="26"/>
  <c r="G15" i="26"/>
  <c r="H14" i="26"/>
  <c r="G14" i="26"/>
  <c r="H13" i="26"/>
  <c r="G13" i="26"/>
  <c r="H12" i="26"/>
  <c r="G12" i="26"/>
  <c r="E25" i="14" l="1"/>
  <c r="E91" i="14" l="1"/>
  <c r="C76" i="14"/>
  <c r="C91" i="14"/>
  <c r="H116" i="14"/>
  <c r="G116" i="14"/>
  <c r="H113" i="14"/>
  <c r="G113" i="14"/>
  <c r="H112" i="14"/>
  <c r="G112" i="14"/>
  <c r="H111" i="14"/>
  <c r="G111" i="14"/>
  <c r="H110" i="14"/>
  <c r="G110" i="14"/>
  <c r="F109" i="14"/>
  <c r="E109" i="14"/>
  <c r="D109" i="14"/>
  <c r="C109" i="14"/>
  <c r="H108" i="14"/>
  <c r="G108" i="14"/>
  <c r="H107" i="14"/>
  <c r="G107" i="14"/>
  <c r="H106" i="14"/>
  <c r="H105" i="14"/>
  <c r="G105" i="14"/>
  <c r="E104" i="14"/>
  <c r="D104" i="14"/>
  <c r="C104" i="14"/>
  <c r="C114" i="14" s="1"/>
  <c r="H101" i="14"/>
  <c r="G101" i="14"/>
  <c r="H99" i="14"/>
  <c r="G99" i="14"/>
  <c r="H98" i="14"/>
  <c r="G98" i="14"/>
  <c r="H95" i="14"/>
  <c r="G95" i="14"/>
  <c r="E93" i="14"/>
  <c r="C94" i="14"/>
  <c r="C93" i="14" s="1"/>
  <c r="H92" i="14"/>
  <c r="D91" i="14"/>
  <c r="H88" i="14"/>
  <c r="G88" i="14"/>
  <c r="F84" i="14"/>
  <c r="H84" i="14" s="1"/>
  <c r="F83" i="14"/>
  <c r="H83" i="14" s="1"/>
  <c r="F81" i="14"/>
  <c r="H81" i="14" s="1"/>
  <c r="H80" i="14"/>
  <c r="G80" i="14"/>
  <c r="E76" i="14"/>
  <c r="F77" i="14"/>
  <c r="C71" i="14"/>
  <c r="F74" i="14"/>
  <c r="H74" i="14" s="1"/>
  <c r="E71" i="14"/>
  <c r="D114" i="14" l="1"/>
  <c r="E89" i="14"/>
  <c r="C89" i="14"/>
  <c r="F104" i="14"/>
  <c r="F114" i="14" s="1"/>
  <c r="D71" i="14"/>
  <c r="G74" i="14"/>
  <c r="G84" i="14"/>
  <c r="C102" i="14"/>
  <c r="E102" i="14"/>
  <c r="D94" i="14"/>
  <c r="D93" i="14" s="1"/>
  <c r="D102" i="14" s="1"/>
  <c r="H109" i="14"/>
  <c r="G73" i="14"/>
  <c r="H73" i="14"/>
  <c r="H96" i="14"/>
  <c r="F94" i="14"/>
  <c r="G96" i="14"/>
  <c r="H75" i="14"/>
  <c r="G75" i="14"/>
  <c r="H77" i="14"/>
  <c r="G77" i="14"/>
  <c r="G97" i="14"/>
  <c r="H97" i="14"/>
  <c r="G100" i="14"/>
  <c r="H100" i="14"/>
  <c r="G81" i="14"/>
  <c r="G83" i="14"/>
  <c r="F91" i="14"/>
  <c r="G92" i="14"/>
  <c r="G106" i="14"/>
  <c r="G109" i="14"/>
  <c r="E114" i="14"/>
  <c r="E115" i="14" l="1"/>
  <c r="E117" i="14" s="1"/>
  <c r="H104" i="14"/>
  <c r="G104" i="14"/>
  <c r="H114" i="14"/>
  <c r="H94" i="14"/>
  <c r="F93" i="14"/>
  <c r="F102" i="14" s="1"/>
  <c r="G94" i="14"/>
  <c r="G72" i="14"/>
  <c r="F71" i="14"/>
  <c r="H72" i="14"/>
  <c r="G91" i="14"/>
  <c r="H91" i="14"/>
  <c r="G114" i="14"/>
  <c r="H71" i="14" l="1"/>
  <c r="G71" i="14"/>
  <c r="G102" i="14"/>
  <c r="H102" i="14"/>
  <c r="H93" i="14"/>
  <c r="G93" i="14"/>
  <c r="F220" i="26" l="1"/>
  <c r="D118" i="26" l="1"/>
  <c r="D117" i="26" s="1"/>
  <c r="D115" i="26" s="1"/>
  <c r="E118" i="26"/>
  <c r="E117" i="26" s="1"/>
  <c r="E115" i="26" s="1"/>
  <c r="I46" i="14" l="1"/>
  <c r="F132" i="14" l="1"/>
  <c r="F133" i="14"/>
  <c r="F131" i="14"/>
  <c r="F26" i="14"/>
  <c r="F29" i="14"/>
  <c r="D79" i="14" l="1"/>
  <c r="H86" i="14"/>
  <c r="G86" i="14"/>
  <c r="M224" i="9"/>
  <c r="M225" i="9"/>
  <c r="M226" i="9"/>
  <c r="M227" i="9"/>
  <c r="M223" i="9"/>
  <c r="E219" i="9"/>
  <c r="F219" i="9"/>
  <c r="M220" i="9"/>
  <c r="N220" i="9"/>
  <c r="N221" i="9"/>
  <c r="M221" i="9"/>
  <c r="H220" i="9"/>
  <c r="E7" i="9"/>
  <c r="F7" i="9"/>
  <c r="H7" i="9"/>
  <c r="I7" i="9"/>
  <c r="J7" i="9"/>
  <c r="K7" i="9"/>
  <c r="L7" i="9"/>
  <c r="N7" i="9" s="1"/>
  <c r="N8" i="9"/>
  <c r="M8" i="9"/>
  <c r="N226" i="9"/>
  <c r="N227" i="9"/>
  <c r="N223" i="9"/>
  <c r="N225" i="9"/>
  <c r="N224" i="9"/>
  <c r="G223" i="9"/>
  <c r="F122" i="26"/>
  <c r="F119" i="26"/>
  <c r="F22" i="26"/>
  <c r="F21" i="26"/>
  <c r="F28" i="26"/>
  <c r="P225" i="9" l="1"/>
  <c r="O225" i="9"/>
  <c r="P224" i="9"/>
  <c r="O224" i="9"/>
  <c r="N222" i="9"/>
  <c r="P223" i="9"/>
  <c r="O223" i="9"/>
  <c r="P221" i="9"/>
  <c r="O221" i="9"/>
  <c r="P8" i="9"/>
  <c r="O8" i="9"/>
  <c r="D76" i="14"/>
  <c r="D89" i="14" s="1"/>
  <c r="D115" i="14" s="1"/>
  <c r="D117" i="14" s="1"/>
  <c r="F33" i="22"/>
  <c r="P222" i="9" l="1"/>
  <c r="O222" i="9"/>
  <c r="F71" i="22"/>
  <c r="F31" i="26" l="1"/>
  <c r="F226" i="26"/>
  <c r="F258" i="26"/>
  <c r="F255" i="26"/>
  <c r="F125" i="26"/>
  <c r="F98" i="26"/>
  <c r="F121" i="26"/>
  <c r="F75" i="26"/>
  <c r="F127" i="26"/>
  <c r="F105" i="26"/>
  <c r="F128" i="26"/>
  <c r="F104" i="26"/>
  <c r="F74" i="26"/>
  <c r="F64" i="26"/>
  <c r="F193" i="26"/>
  <c r="F219" i="26"/>
  <c r="F13" i="26"/>
  <c r="F30" i="26"/>
  <c r="F100" i="26"/>
  <c r="F76" i="26"/>
  <c r="F72" i="26"/>
  <c r="F71" i="26"/>
  <c r="F15" i="26"/>
  <c r="F26" i="26"/>
  <c r="F14" i="22" l="1"/>
  <c r="H14" i="22" l="1"/>
  <c r="G14" i="22"/>
  <c r="F10" i="22"/>
  <c r="F17" i="22"/>
  <c r="F68" i="26" l="1"/>
  <c r="E6" i="24"/>
  <c r="E300" i="24"/>
  <c r="G300" i="24" l="1"/>
  <c r="F300" i="24"/>
  <c r="F125" i="14"/>
  <c r="F205" i="26"/>
  <c r="F204" i="26"/>
  <c r="F202" i="26"/>
  <c r="F201" i="26"/>
  <c r="F196" i="26"/>
  <c r="H125" i="14" l="1"/>
  <c r="G125" i="14"/>
  <c r="D125" i="14"/>
  <c r="F111" i="26"/>
  <c r="F101" i="26"/>
  <c r="F89" i="26"/>
  <c r="F90" i="26"/>
  <c r="F103" i="26"/>
  <c r="F83" i="26"/>
  <c r="F91" i="26"/>
  <c r="F77" i="26"/>
  <c r="F120" i="26"/>
  <c r="F126" i="26"/>
  <c r="F124" i="26" s="1"/>
  <c r="F123" i="26" s="1"/>
  <c r="F112" i="26"/>
  <c r="F107" i="26"/>
  <c r="F87" i="26"/>
  <c r="F86" i="26"/>
  <c r="F80" i="26"/>
  <c r="F79" i="26"/>
  <c r="F238" i="26"/>
  <c r="F246" i="26"/>
  <c r="F223" i="26"/>
  <c r="F228" i="26"/>
  <c r="F69" i="26" l="1"/>
  <c r="F97" i="26"/>
  <c r="F110" i="26"/>
  <c r="F48" i="26" l="1"/>
  <c r="F20" i="26"/>
  <c r="F27" i="26"/>
  <c r="F23" i="26"/>
  <c r="F32" i="26"/>
  <c r="F171" i="26" l="1"/>
  <c r="H9" i="9" l="1"/>
  <c r="I9" i="9"/>
  <c r="J9" i="9"/>
  <c r="K9" i="9"/>
  <c r="G9" i="9"/>
  <c r="E97" i="24" l="1"/>
  <c r="E73" i="9" l="1"/>
  <c r="F73" i="9"/>
  <c r="G73" i="9"/>
  <c r="H73" i="9"/>
  <c r="I73" i="9"/>
  <c r="J73" i="9"/>
  <c r="K73" i="9"/>
  <c r="L73" i="9"/>
  <c r="G219" i="9" l="1"/>
  <c r="G7" i="9"/>
  <c r="M7" i="9" s="1"/>
  <c r="D300" i="24"/>
  <c r="P7" i="9" l="1"/>
  <c r="O7" i="9"/>
  <c r="E297" i="24"/>
  <c r="C297" i="24"/>
  <c r="D297" i="24"/>
  <c r="E5" i="24" l="1"/>
  <c r="F297" i="24"/>
  <c r="G297" i="24"/>
  <c r="F124" i="14"/>
  <c r="D6" i="24"/>
  <c r="H124" i="14" l="1"/>
  <c r="G124" i="14"/>
  <c r="D124" i="14"/>
  <c r="E110" i="26"/>
  <c r="E170" i="26" l="1"/>
  <c r="F170" i="26"/>
  <c r="D170" i="26"/>
  <c r="C300" i="24"/>
  <c r="C8" i="24"/>
  <c r="I219" i="9" l="1"/>
  <c r="J219" i="9"/>
  <c r="K219" i="9"/>
  <c r="M219" i="9"/>
  <c r="L219" i="9"/>
  <c r="H219" i="9"/>
  <c r="N219" i="9" l="1"/>
  <c r="E138" i="14"/>
  <c r="P219" i="9" l="1"/>
  <c r="O219" i="9"/>
  <c r="F130" i="14"/>
  <c r="F195" i="26" l="1"/>
  <c r="F187" i="26" l="1"/>
  <c r="F215" i="26"/>
  <c r="H187" i="26" l="1"/>
  <c r="G187" i="26"/>
  <c r="F221" i="26"/>
  <c r="F236" i="26"/>
  <c r="I222" i="9" l="1"/>
  <c r="K222" i="9"/>
  <c r="J222" i="9"/>
  <c r="H222" i="9" l="1"/>
  <c r="L222" i="9"/>
  <c r="H228" i="9" l="1"/>
  <c r="E9" i="9" l="1"/>
  <c r="F9" i="9"/>
  <c r="N228" i="9" s="1"/>
  <c r="I228" i="9"/>
  <c r="J228" i="9"/>
  <c r="K228" i="9"/>
  <c r="L228" i="9"/>
  <c r="M9" i="9" l="1"/>
  <c r="D8" i="24"/>
  <c r="E136" i="26" l="1"/>
  <c r="D177" i="26" l="1"/>
  <c r="D136" i="26"/>
  <c r="D207" i="26" l="1"/>
  <c r="D210" i="26"/>
  <c r="D206" i="26" l="1"/>
  <c r="F118" i="26"/>
  <c r="F117" i="26" s="1"/>
  <c r="F115" i="26" s="1"/>
  <c r="D141" i="14" l="1"/>
  <c r="D140" i="14"/>
  <c r="D139" i="14"/>
  <c r="D138" i="14" l="1"/>
  <c r="D130" i="14"/>
  <c r="D142" i="14" l="1"/>
  <c r="F19" i="22" l="1"/>
  <c r="F38" i="26" l="1"/>
  <c r="E139" i="14" l="1"/>
  <c r="E143" i="14" s="1"/>
  <c r="E67" i="22"/>
  <c r="E94" i="22" l="1"/>
  <c r="E71" i="22"/>
  <c r="E33" i="22"/>
  <c r="F136" i="26"/>
  <c r="E222" i="9" l="1"/>
  <c r="F222" i="9"/>
  <c r="G222" i="9"/>
  <c r="G228" i="9" s="1"/>
  <c r="D221" i="26" l="1"/>
  <c r="D233" i="26"/>
  <c r="D195" i="26"/>
  <c r="D109" i="26"/>
  <c r="K26" i="26" s="1"/>
  <c r="E145" i="26"/>
  <c r="F145" i="26"/>
  <c r="D145" i="26"/>
  <c r="D187" i="26" l="1"/>
  <c r="D185" i="26" s="1"/>
  <c r="F135" i="14"/>
  <c r="J46" i="14" l="1"/>
  <c r="D10" i="22" l="1"/>
  <c r="E10" i="22"/>
  <c r="F183" i="26" l="1"/>
  <c r="F182" i="26" s="1"/>
  <c r="F180" i="26" s="1"/>
  <c r="E140" i="14" l="1"/>
  <c r="E144" i="14" s="1"/>
  <c r="E141" i="14"/>
  <c r="E145" i="14" s="1"/>
  <c r="F59" i="26" l="1"/>
  <c r="F136" i="14" l="1"/>
  <c r="F137" i="14"/>
  <c r="C140" i="14"/>
  <c r="C141" i="14"/>
  <c r="C139" i="14"/>
  <c r="D97" i="24" l="1"/>
  <c r="D5" i="24" s="1"/>
  <c r="C97" i="24" l="1"/>
  <c r="C5" i="24" s="1"/>
  <c r="F233" i="26" l="1"/>
  <c r="E177" i="26"/>
  <c r="E233" i="26"/>
  <c r="D248" i="26" l="1"/>
  <c r="D247" i="26" s="1"/>
  <c r="D92" i="26" l="1"/>
  <c r="D59" i="26"/>
  <c r="D57" i="26" l="1"/>
  <c r="F23" i="22"/>
  <c r="E23" i="22"/>
  <c r="F155" i="26" l="1"/>
  <c r="F248" i="26" l="1"/>
  <c r="D236" i="26"/>
  <c r="D232" i="26" s="1"/>
  <c r="D214" i="26"/>
  <c r="D163" i="26"/>
  <c r="D147" i="26"/>
  <c r="E97" i="26"/>
  <c r="E93" i="26"/>
  <c r="F93" i="26"/>
  <c r="E69" i="26"/>
  <c r="D38" i="26"/>
  <c r="H11" i="26"/>
  <c r="G11" i="26"/>
  <c r="D144" i="26" l="1"/>
  <c r="D212" i="26"/>
  <c r="F92" i="26"/>
  <c r="F94" i="22" l="1"/>
  <c r="C138" i="14" l="1"/>
  <c r="F139" i="14" l="1"/>
  <c r="M222" i="9" l="1"/>
  <c r="M228" i="9" s="1"/>
  <c r="E132" i="26" l="1"/>
  <c r="E147" i="26"/>
  <c r="E144" i="26" s="1"/>
  <c r="E131" i="26" l="1"/>
  <c r="H123" i="14" l="1"/>
  <c r="G123" i="14"/>
  <c r="E7" i="22" l="1"/>
  <c r="D7" i="22"/>
  <c r="D9" i="26" l="1"/>
  <c r="F53" i="14" l="1"/>
  <c r="E152" i="26" l="1"/>
  <c r="F132" i="26" l="1"/>
  <c r="F131" i="26" l="1"/>
  <c r="F177" i="26"/>
  <c r="E38" i="26" l="1"/>
  <c r="E9" i="26"/>
  <c r="L12" i="26" s="1"/>
  <c r="L10" i="26" s="1"/>
  <c r="E59" i="26"/>
  <c r="H59" i="26" l="1"/>
  <c r="G59" i="26"/>
  <c r="G38" i="26"/>
  <c r="H38" i="26"/>
  <c r="D19" i="22" l="1"/>
  <c r="D183" i="26"/>
  <c r="D182" i="26" s="1"/>
  <c r="D180" i="26" s="1"/>
  <c r="E55" i="26"/>
  <c r="F55" i="26"/>
  <c r="D52" i="26" l="1"/>
  <c r="D7" i="26" s="1"/>
  <c r="F52" i="26"/>
  <c r="F67" i="14" l="1"/>
  <c r="H87" i="14" l="1"/>
  <c r="G87" i="14"/>
  <c r="F67" i="22"/>
  <c r="F9" i="26" l="1"/>
  <c r="M12" i="26" s="1"/>
  <c r="M10" i="26" s="1"/>
  <c r="F7" i="26" l="1"/>
  <c r="F109" i="26"/>
  <c r="F57" i="26" l="1"/>
  <c r="F169" i="26"/>
  <c r="C22" i="14" l="1"/>
  <c r="G67" i="14" l="1"/>
  <c r="G65" i="14"/>
  <c r="G63" i="14"/>
  <c r="G62" i="14"/>
  <c r="G61" i="14"/>
  <c r="G60" i="14"/>
  <c r="G58" i="14"/>
  <c r="G56" i="14"/>
  <c r="G54" i="14"/>
  <c r="G53" i="14"/>
  <c r="H126" i="14"/>
  <c r="G126" i="14"/>
  <c r="H12" i="22" l="1"/>
  <c r="G12" i="22"/>
  <c r="H11" i="22"/>
  <c r="G11" i="22"/>
  <c r="H9" i="22"/>
  <c r="G9" i="22"/>
  <c r="F41" i="14" l="1"/>
  <c r="F228" i="9" l="1"/>
  <c r="E228" i="9"/>
  <c r="H121" i="14" l="1"/>
  <c r="G121" i="14"/>
  <c r="G122" i="14"/>
  <c r="H122" i="14"/>
  <c r="F141" i="14" l="1"/>
  <c r="F140" i="14"/>
  <c r="F38" i="14"/>
  <c r="F247" i="26" l="1"/>
  <c r="F257" i="26"/>
  <c r="F185" i="26" l="1"/>
  <c r="F256" i="26"/>
  <c r="H185" i="26" l="1"/>
  <c r="G185" i="26"/>
  <c r="F6" i="26"/>
  <c r="E185" i="26"/>
  <c r="D257" i="26"/>
  <c r="F214" i="26" l="1"/>
  <c r="E257" i="26" l="1"/>
  <c r="E256" i="26" l="1"/>
  <c r="E52" i="26" l="1"/>
  <c r="E7" i="26" l="1"/>
  <c r="F232" i="26" l="1"/>
  <c r="F212" i="26" s="1"/>
  <c r="E109" i="26"/>
  <c r="E92" i="26"/>
  <c r="E57" i="26" l="1"/>
  <c r="H57" i="26" l="1"/>
  <c r="G57" i="26"/>
  <c r="E6" i="26"/>
  <c r="D67" i="22"/>
  <c r="D94" i="22"/>
  <c r="D154" i="26" l="1"/>
  <c r="D152" i="26" s="1"/>
  <c r="H8" i="22" l="1"/>
  <c r="G8" i="22"/>
  <c r="F154" i="26" l="1"/>
  <c r="F152" i="26" l="1"/>
  <c r="D256" i="26" l="1"/>
  <c r="G66" i="14" l="1"/>
  <c r="F59" i="14"/>
  <c r="C57" i="14"/>
  <c r="F55" i="14"/>
  <c r="C115" i="14"/>
  <c r="C117" i="14" s="1"/>
  <c r="F138" i="14"/>
  <c r="F142" i="14" s="1"/>
  <c r="G49" i="14"/>
  <c r="F23" i="14"/>
  <c r="F33" i="14"/>
  <c r="F35" i="14"/>
  <c r="F37" i="14"/>
  <c r="F40" i="14"/>
  <c r="G82" i="14" l="1"/>
  <c r="H82" i="14"/>
  <c r="G55" i="14"/>
  <c r="G59" i="14"/>
  <c r="H59" i="14"/>
  <c r="E19" i="22"/>
  <c r="G78" i="14" l="1"/>
  <c r="H78" i="14"/>
  <c r="G85" i="14"/>
  <c r="H85" i="14"/>
  <c r="F79" i="14"/>
  <c r="H19" i="22"/>
  <c r="G19" i="22"/>
  <c r="D254" i="26"/>
  <c r="E254" i="26"/>
  <c r="G79" i="14" l="1"/>
  <c r="H79" i="14"/>
  <c r="F76" i="14"/>
  <c r="E253" i="26"/>
  <c r="E251" i="26" s="1"/>
  <c r="D253" i="26"/>
  <c r="D251" i="26" s="1"/>
  <c r="H76" i="14" l="1"/>
  <c r="G76" i="14"/>
  <c r="F89" i="14"/>
  <c r="H34" i="14"/>
  <c r="F115" i="14" l="1"/>
  <c r="H89" i="14"/>
  <c r="G89" i="14"/>
  <c r="D169" i="26"/>
  <c r="F117" i="14" l="1"/>
  <c r="G115" i="14"/>
  <c r="H115" i="14"/>
  <c r="E221" i="26"/>
  <c r="H117" i="14" l="1"/>
  <c r="G117" i="14"/>
  <c r="D176" i="26"/>
  <c r="D167" i="26" l="1"/>
  <c r="E186" i="26" l="1"/>
  <c r="F176" i="26" l="1"/>
  <c r="F167" i="26" l="1"/>
  <c r="F254" i="26"/>
  <c r="F253" i="26" l="1"/>
  <c r="F251" i="26" l="1"/>
  <c r="E236" i="26"/>
  <c r="E232" i="26" l="1"/>
  <c r="E215" i="26"/>
  <c r="E214" i="26" l="1"/>
  <c r="E212" i="26" s="1"/>
  <c r="G5" i="24" l="1"/>
  <c r="D17" i="22" l="1"/>
  <c r="E17" i="22"/>
  <c r="F7" i="22"/>
  <c r="D162" i="26"/>
  <c r="F163" i="26"/>
  <c r="E163" i="26"/>
  <c r="H17" i="22" l="1"/>
  <c r="G17" i="22"/>
  <c r="D160" i="26"/>
  <c r="F6" i="22"/>
  <c r="E162" i="26"/>
  <c r="H10" i="22"/>
  <c r="G10" i="22"/>
  <c r="E169" i="26"/>
  <c r="F162" i="26"/>
  <c r="E176" i="26"/>
  <c r="D6" i="22"/>
  <c r="E6" i="22"/>
  <c r="F147" i="26"/>
  <c r="F144" i="26" l="1"/>
  <c r="E129" i="26"/>
  <c r="D131" i="26"/>
  <c r="K12" i="26" s="1"/>
  <c r="K10" i="26" s="1"/>
  <c r="E160" i="26"/>
  <c r="E167" i="26"/>
  <c r="G6" i="22"/>
  <c r="H6" i="22"/>
  <c r="F160" i="26"/>
  <c r="H10" i="26"/>
  <c r="G10" i="26"/>
  <c r="F129" i="26" l="1"/>
  <c r="D129" i="26"/>
  <c r="D6" i="26" s="1"/>
  <c r="C25" i="14" l="1"/>
  <c r="F50" i="14"/>
  <c r="E50" i="14"/>
  <c r="D50" i="14"/>
  <c r="C50" i="14"/>
  <c r="H49" i="14"/>
  <c r="H48" i="14"/>
  <c r="G48" i="14"/>
  <c r="H47" i="14"/>
  <c r="G47" i="14"/>
  <c r="H46" i="14"/>
  <c r="G46" i="14"/>
  <c r="H45" i="14"/>
  <c r="G45" i="14"/>
  <c r="C130" i="14"/>
  <c r="E130" i="14"/>
  <c r="E142" i="14" s="1"/>
  <c r="G50" i="14" l="1"/>
  <c r="H50" i="14"/>
  <c r="H7" i="22" l="1"/>
  <c r="G7" i="22"/>
  <c r="H9" i="26" l="1"/>
  <c r="G9" i="26"/>
  <c r="P9" i="9" l="1"/>
  <c r="H7" i="26"/>
  <c r="G7" i="26"/>
  <c r="O9" i="9"/>
  <c r="F5" i="24"/>
  <c r="O228" i="9" l="1"/>
  <c r="P228" i="9"/>
  <c r="H120" i="14"/>
  <c r="G120" i="14"/>
  <c r="H53" i="14"/>
  <c r="H54" i="14"/>
  <c r="H55" i="14"/>
  <c r="H56" i="14"/>
  <c r="H58" i="14"/>
  <c r="H60" i="14"/>
  <c r="H61" i="14"/>
  <c r="H62" i="14"/>
  <c r="H63" i="14"/>
  <c r="H65" i="14"/>
  <c r="H66" i="14"/>
  <c r="H67" i="14"/>
  <c r="H10" i="14"/>
  <c r="H17" i="14"/>
  <c r="H18" i="14"/>
  <c r="H19" i="14"/>
  <c r="H20" i="14"/>
  <c r="H21" i="14"/>
  <c r="H23" i="14"/>
  <c r="H24" i="14"/>
  <c r="H26" i="14"/>
  <c r="H27" i="14"/>
  <c r="H28" i="14"/>
  <c r="H29" i="14"/>
  <c r="H30" i="14"/>
  <c r="H32" i="14"/>
  <c r="H33" i="14"/>
  <c r="H35" i="14"/>
  <c r="H37" i="14"/>
  <c r="H38" i="14"/>
  <c r="H40" i="14"/>
  <c r="H41" i="14"/>
  <c r="H8" i="14" l="1"/>
  <c r="G18" i="14"/>
  <c r="G19" i="14"/>
  <c r="G20" i="14"/>
  <c r="G21" i="14"/>
  <c r="G10" i="14"/>
  <c r="G17" i="14"/>
  <c r="G23" i="14"/>
  <c r="G24" i="14"/>
  <c r="G26" i="14"/>
  <c r="G27" i="14"/>
  <c r="G28" i="14"/>
  <c r="G29" i="14"/>
  <c r="G30" i="14"/>
  <c r="G32" i="14"/>
  <c r="G33" i="14"/>
  <c r="G34" i="14"/>
  <c r="G35" i="14"/>
  <c r="G37" i="14"/>
  <c r="G38" i="14"/>
  <c r="G40" i="14"/>
  <c r="G41" i="14"/>
  <c r="G8" i="14"/>
  <c r="H6" i="26" l="1"/>
  <c r="G6" i="26"/>
  <c r="C119" i="14"/>
  <c r="D119" i="14"/>
  <c r="E119" i="14"/>
  <c r="F119" i="14"/>
  <c r="G119" i="14" l="1"/>
  <c r="H119" i="14"/>
  <c r="D57" i="14"/>
  <c r="D52" i="14"/>
  <c r="C52" i="14"/>
  <c r="D64" i="14"/>
  <c r="E64" i="14"/>
  <c r="F64" i="14"/>
  <c r="C64" i="14"/>
  <c r="E57" i="14"/>
  <c r="F57" i="14"/>
  <c r="E52" i="14"/>
  <c r="F52" i="14"/>
  <c r="D22" i="14"/>
  <c r="E22" i="14"/>
  <c r="E42" i="14" s="1"/>
  <c r="C42" i="14"/>
  <c r="E68" i="14" l="1"/>
  <c r="G64" i="14"/>
  <c r="G57" i="14"/>
  <c r="H52" i="14"/>
  <c r="G52" i="14"/>
  <c r="D42" i="14"/>
  <c r="F22" i="14"/>
  <c r="H22" i="14" s="1"/>
  <c r="H64" i="14"/>
  <c r="H57" i="14"/>
  <c r="C68" i="14"/>
  <c r="D68" i="14"/>
  <c r="F68" i="14"/>
  <c r="D25" i="14"/>
  <c r="D16" i="14"/>
  <c r="F16" i="14" s="1"/>
  <c r="E16" i="14"/>
  <c r="C16" i="14"/>
  <c r="D9" i="14"/>
  <c r="F9" i="14" s="1"/>
  <c r="E9" i="14"/>
  <c r="C9" i="14"/>
  <c r="G68" i="14" l="1"/>
  <c r="F42" i="14"/>
  <c r="H42" i="14" s="1"/>
  <c r="G22" i="14"/>
  <c r="H9" i="14"/>
  <c r="D15" i="14"/>
  <c r="F15" i="14" s="1"/>
  <c r="F25" i="14"/>
  <c r="C43" i="14"/>
  <c r="D43" i="14"/>
  <c r="F43" i="14" s="1"/>
  <c r="E15" i="14"/>
  <c r="E43" i="14"/>
  <c r="H16" i="14"/>
  <c r="H68" i="14"/>
  <c r="G16" i="14"/>
  <c r="D31" i="14" l="1"/>
  <c r="D36" i="14" s="1"/>
  <c r="E31" i="14"/>
  <c r="E36" i="14" s="1"/>
  <c r="E39" i="14" s="1"/>
  <c r="G42" i="14"/>
  <c r="G9" i="14"/>
  <c r="H25" i="14"/>
  <c r="G25" i="14"/>
  <c r="G43" i="14"/>
  <c r="H43" i="14"/>
  <c r="F31" i="14" l="1"/>
  <c r="C15" i="14"/>
  <c r="D39" i="14" l="1"/>
  <c r="F39" i="14" s="1"/>
  <c r="G15" i="14"/>
  <c r="H15" i="14"/>
  <c r="H31" i="14"/>
  <c r="G31" i="14"/>
  <c r="C31" i="14"/>
  <c r="C36" i="14" l="1"/>
  <c r="F36" i="14"/>
  <c r="H36" i="14" s="1"/>
  <c r="H39" i="14"/>
  <c r="G39" i="14"/>
  <c r="G36" i="14" l="1"/>
</calcChain>
</file>

<file path=xl/sharedStrings.xml><?xml version="1.0" encoding="utf-8"?>
<sst xmlns="http://schemas.openxmlformats.org/spreadsheetml/2006/main" count="1639" uniqueCount="710">
  <si>
    <t>придбання (виготовлення) основних засобів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</si>
  <si>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</si>
  <si>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</si>
  <si>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</si>
  <si>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</si>
  <si>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</si>
  <si>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Інші операційні витрати</t>
  </si>
  <si>
    <t>придбання (виготовлення) інших необоротних матеріальних активів</t>
  </si>
  <si>
    <t>№ з/п</t>
  </si>
  <si>
    <t>Усього</t>
  </si>
  <si>
    <t>(посада)</t>
  </si>
  <si>
    <t>(підпис)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</si>
  <si>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</si>
  <si>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</si>
  <si>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</si>
  <si>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Фінансовий результат до оподаткування</t>
  </si>
  <si>
    <t xml:space="preserve">         (ініціали, прізвище)    </t>
  </si>
  <si>
    <t>(ініціали, прізвище)</t>
  </si>
  <si>
    <t>Основні фінансові показники</t>
  </si>
  <si>
    <t>Капітальні інвестиції</t>
  </si>
  <si>
    <t>Найменування об’єкта</t>
  </si>
  <si>
    <t>директор</t>
  </si>
  <si>
    <t>працівники</t>
  </si>
  <si>
    <t>Найменування показника</t>
  </si>
  <si>
    <t>адміністративно-управлінський персонал</t>
  </si>
  <si>
    <t>Валовий прибуток/збиток</t>
  </si>
  <si>
    <t>(    )</t>
  </si>
  <si>
    <t>Інші доходи, усього, у тому числі:</t>
  </si>
  <si>
    <t>Витрати з податку на прибуток</t>
  </si>
  <si>
    <t>Дохід з податку на прибуток</t>
  </si>
  <si>
    <t>8000</t>
  </si>
  <si>
    <t>8001</t>
  </si>
  <si>
    <t>8002</t>
  </si>
  <si>
    <t>8003</t>
  </si>
  <si>
    <t>8010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</si>
  <si>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</si>
  <si>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</si>
  <si>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</si>
  <si>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податок на прибуток підприємств</t>
  </si>
  <si>
    <t>капітальний ремонт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</si>
  <si>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</si>
  <si>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</si>
  <si>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</si>
  <si>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земельний податок</t>
  </si>
  <si>
    <t>орендна плата</t>
  </si>
  <si>
    <t>Чистий фінансовий результат</t>
  </si>
  <si>
    <t xml:space="preserve">Прибуток </t>
  </si>
  <si>
    <t>Збиток</t>
  </si>
  <si>
    <t>Середньомісячні витрати на оплату праці одного працівника (грн), усього, у тому числі:</t>
  </si>
  <si>
    <t>Інші витрати (розшифрувати)</t>
  </si>
  <si>
    <t>тис. грн (без ПДВ)</t>
  </si>
  <si>
    <t>{Додаток 1 в редакції Наказу Міністерства економічного розвитку і торгівлі № 1394 від 03.11.2015}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</si>
  <si>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</si>
  <si>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</si>
  <si>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нараховано виплат</t>
  </si>
  <si>
    <t>Матеріальні витрати</t>
  </si>
  <si>
    <t>(тис. грн)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</si>
  <si>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</si>
  <si>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</si>
  <si>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</si>
  <si>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військовий збір</t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</si>
  <si>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</si>
  <si>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</si>
  <si>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</si>
  <si>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тис. грн</t>
  </si>
  <si>
    <t xml:space="preserve">                   (підпис)</t>
  </si>
  <si>
    <t>Собівартість реалізованої продукції (товарів, робіт, послуг), усього, у тому числі:</t>
  </si>
  <si>
    <t>Матеріальні витрати (розшифрувати)</t>
  </si>
  <si>
    <t>Інші адміністративні витрати (розшифрувати)</t>
  </si>
  <si>
    <t>Інші операційні витрати (розшифрувати)</t>
  </si>
  <si>
    <t>придбання (виготовлення) інших необоротних матеріальних активів (розшифрувати)</t>
  </si>
  <si>
    <t>Фонд оплату праці</t>
  </si>
  <si>
    <t>8030</t>
  </si>
  <si>
    <t>Чистий дохід від реалізації продукції (товарів, робіт, послуг), усього, у тому числі:</t>
  </si>
  <si>
    <t>ДОХОДИ</t>
  </si>
  <si>
    <t>№Зз/п</t>
  </si>
  <si>
    <t>Інші фінансові доходи, усього, у тому числі:</t>
  </si>
  <si>
    <t>ВИТРАТИ</t>
  </si>
  <si>
    <t>Собівартість реалізованої продукції (товарів, робіт, послуг),</t>
  </si>
  <si>
    <t>Матеріальні витрати, у сього, у т.ч.:</t>
  </si>
  <si>
    <t>Інші витрати, усього, у т.ч:</t>
  </si>
  <si>
    <t>Адміністративні витрати:</t>
  </si>
  <si>
    <t>Інші адміністративні витрати, усього, у т.ч.:</t>
  </si>
  <si>
    <t>ВСЬОГО ВИТРАТ:</t>
  </si>
  <si>
    <t>1.</t>
  </si>
  <si>
    <t>у т.ч. використано на:</t>
  </si>
  <si>
    <t>1.1</t>
  </si>
  <si>
    <t>1.2</t>
  </si>
  <si>
    <t>Адміністративні витрати, усього, у тому числі:</t>
  </si>
  <si>
    <t>Собівартість реалізованої продукції (товарів, робіт, послуг), усього, у т.ч.:</t>
  </si>
  <si>
    <t>1.3</t>
  </si>
  <si>
    <t>Адміністративні витрати, усього, у т.ч.:</t>
  </si>
  <si>
    <t>Інші операційні витрати, усього, у т.ч.:</t>
  </si>
  <si>
    <t>2.</t>
  </si>
  <si>
    <t>Придбання (виготовлення) основних засобів, усього, у т.ч.:</t>
  </si>
  <si>
    <t>Придбання (виготовлення) інших необоротних матеріальних активів, усього, у т.ч.:</t>
  </si>
  <si>
    <t>Інші витрати, усього, у т.ч.:</t>
  </si>
  <si>
    <t>Розділ І. Формування фінансових результатів</t>
  </si>
  <si>
    <t>Розділ IІ. Розрахунки з бюджетом</t>
  </si>
  <si>
    <t>Розділ IV. Капітальні інвестиції</t>
  </si>
  <si>
    <t>Розділ VI. Дані про персонал та витрати на оплату праці</t>
  </si>
  <si>
    <t>Розшифровка №1 до розділу І "Формування фінансових результатів"</t>
  </si>
  <si>
    <t>Розшифровка до розділу  IV. "Капітальні інвестиції"</t>
  </si>
  <si>
    <t>3.</t>
  </si>
  <si>
    <t>Матеріальні витрати, усього, у т.ч.:</t>
  </si>
  <si>
    <t>план</t>
  </si>
  <si>
    <t>факт</t>
  </si>
  <si>
    <t>відхилення, +/-</t>
  </si>
  <si>
    <t>виконання, 
%</t>
  </si>
  <si>
    <t>відхилення, +,-</t>
  </si>
  <si>
    <t>відхилення, %</t>
  </si>
  <si>
    <t>відхилення, 
%</t>
  </si>
  <si>
    <t>Відхилення, +,-</t>
  </si>
  <si>
    <t>Відхилення, %</t>
  </si>
  <si>
    <t>Усього доходів</t>
  </si>
  <si>
    <t>Усього видатків</t>
  </si>
  <si>
    <t>Розшифровка №2 до розділу І "Формування фінансових результатів за джерелами доходів та використання коштів"</t>
  </si>
  <si>
    <t>Кошти державного бюджету від Національної служби здоров'я України</t>
  </si>
  <si>
    <t>Інші операційні витрати:</t>
  </si>
  <si>
    <t>Факт наростаючим підсумком з початку року</t>
  </si>
  <si>
    <r>
      <t xml:space="preserve">Чистий дохід від реалізації продукції (товарів, робіт, послуг) </t>
    </r>
    <r>
      <rPr>
        <sz val="16"/>
        <color theme="1"/>
        <rFont val="Times New Roman"/>
        <family val="1"/>
        <charset val="204"/>
      </rPr>
      <t>(розшифрувати)</t>
    </r>
  </si>
  <si>
    <r>
      <t>Інші фінансові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</si>
  <si>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rPr>
        <b/>
        <sz val="16"/>
        <color theme="1"/>
        <rFont val="Times New Roman"/>
        <family val="1"/>
        <charset val="204"/>
      </rPr>
      <t>Фінансові витрати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</si>
  <si>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>Інші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</si>
  <si>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 xml:space="preserve">Інші витрати </t>
    </r>
    <r>
      <rPr>
        <sz val="16"/>
        <color theme="1"/>
        <rFont val="Times New Roman"/>
        <family val="1"/>
        <charset val="204"/>
      </rPr>
      <t>(розшифрувати)</t>
    </r>
  </si>
  <si>
    <r>
      <t>придбання (виготовлення) основних засобів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</si>
  <si>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</si>
  <si>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theme="1"/>
        <rFont val="Times New Roman"/>
        <family val="1"/>
        <charset val="204"/>
      </rPr>
      <t>, у тому числі:</t>
    </r>
  </si>
  <si>
    <t>х</t>
  </si>
  <si>
    <t>Елементи операційних витрат:</t>
  </si>
  <si>
    <t>Залучення кредитних коштів</t>
  </si>
  <si>
    <t>Власні кошти</t>
  </si>
  <si>
    <t>Усього:</t>
  </si>
  <si>
    <t xml:space="preserve">Нараховані до сплати податки та збори до Державного бюджету України (податкові платежі) </t>
  </si>
  <si>
    <t>1.1.1</t>
  </si>
  <si>
    <t xml:space="preserve">медикаменти та перев'язувальні матеріали </t>
  </si>
  <si>
    <t>харчування</t>
  </si>
  <si>
    <t>1.1.2</t>
  </si>
  <si>
    <t>1.1.3</t>
  </si>
  <si>
    <t>1.1.4</t>
  </si>
  <si>
    <t>1.1.5</t>
  </si>
  <si>
    <t>Інші витрати, усього, у тому числі:</t>
  </si>
  <si>
    <t>наркопрофогляд, медогляд</t>
  </si>
  <si>
    <t>гістологічні дослідження</t>
  </si>
  <si>
    <t>дослідження на ВІЛ</t>
  </si>
  <si>
    <t>бактеріологічні дослідження</t>
  </si>
  <si>
    <t xml:space="preserve">ремонт та технічне обслуговування медичного обладнання </t>
  </si>
  <si>
    <t>повірка медичного обладнання</t>
  </si>
  <si>
    <t>технічне обслуговування та ремонт ліфтів</t>
  </si>
  <si>
    <t>телекомунікаційні послуги</t>
  </si>
  <si>
    <t>1.2.2</t>
  </si>
  <si>
    <t>1.2.3</t>
  </si>
  <si>
    <t>Інші адмінінстративні витрати, усього, у тому числі</t>
  </si>
  <si>
    <t xml:space="preserve">охоронна сигналізація </t>
  </si>
  <si>
    <t>господарські товари, техн. засоби, електрозберігаючі лампочки,  будівельні матеріали, засоби для прибирання та гігієни</t>
  </si>
  <si>
    <t>канцтовари, періодичні видання, бланки, журнали</t>
  </si>
  <si>
    <t>дозометричний контроль</t>
  </si>
  <si>
    <t xml:space="preserve">ремонт та технічне обслуговування немедичного обладнання </t>
  </si>
  <si>
    <t>ремонт та технічне обслуговування ПК та оргтехніки</t>
  </si>
  <si>
    <t>ремонт приміщень</t>
  </si>
  <si>
    <t>супровід програмного забезпечення, медіа-супровід, обслуговування сайту, КЕП</t>
  </si>
  <si>
    <t xml:space="preserve">поповнення смарт-карток для проїзду </t>
  </si>
  <si>
    <t>оплата теплопостачання</t>
  </si>
  <si>
    <t xml:space="preserve">оплата водопостачання та водовідведення </t>
  </si>
  <si>
    <t>оплата електроенергії</t>
  </si>
  <si>
    <t>вивіз сміття</t>
  </si>
  <si>
    <t>послуги з навчання</t>
  </si>
  <si>
    <t>Інші  адміністративні витрати, усього, у тому числі:</t>
  </si>
  <si>
    <t>паливно-мастильні матеріали</t>
  </si>
  <si>
    <t>ремонт та технічне обслуговування немедичного обладнання</t>
  </si>
  <si>
    <t>податок на додану вартість</t>
  </si>
  <si>
    <t>витратні матеріали для хворих на цукровий діабет</t>
  </si>
  <si>
    <t>медикаменти та перв'язувальні матеріали</t>
  </si>
  <si>
    <t xml:space="preserve">оплата електроенергії </t>
  </si>
  <si>
    <t xml:space="preserve">вивіз  сміття </t>
  </si>
  <si>
    <t>9.</t>
  </si>
  <si>
    <t>Кошти орендарів (енергоносії)</t>
  </si>
  <si>
    <t>Надходження від відсотків за залишками коштів на депозитних рахунках</t>
  </si>
  <si>
    <t>ремонт та технічне обслуговування медичного обладнання</t>
  </si>
  <si>
    <t>банківські послуги</t>
  </si>
  <si>
    <t>Володимир ПРИСЯЖНЮК</t>
  </si>
  <si>
    <t>кошти державного бюджету від Національної служби здоров'я України</t>
  </si>
  <si>
    <r>
      <t xml:space="preserve">кошти орендарів </t>
    </r>
    <r>
      <rPr>
        <i/>
        <sz val="14"/>
        <rFont val="Times New Roman"/>
        <family val="1"/>
        <charset val="204"/>
      </rPr>
      <t>(енергоносії)</t>
    </r>
  </si>
  <si>
    <t>благодійна допомога в грошовому еквіваленті</t>
  </si>
  <si>
    <t>благодійна допомога в натуральній формі</t>
  </si>
  <si>
    <t>надходження від відсотків за залишками коштів на депозитних рахунках</t>
  </si>
  <si>
    <t>медикаменти та перев'язувальні матеріали</t>
  </si>
  <si>
    <t>господарські товари, технічні засоби, енергозберігаючі лампочки,  будівельні матеріали, засоби для прибирання та гігієни</t>
  </si>
  <si>
    <t>ремонт та технічне обслуговування ліфтів</t>
  </si>
  <si>
    <t xml:space="preserve">ремонт приміщень </t>
  </si>
  <si>
    <t>ПДВ</t>
  </si>
  <si>
    <t xml:space="preserve">пільгова пенсія </t>
  </si>
  <si>
    <t>Благодійна допомога в натуральній формі</t>
  </si>
  <si>
    <t xml:space="preserve">канцтовари, періодичні видання </t>
  </si>
  <si>
    <t>супровід програмного забезпечення, медіа-супровід, обслуговування сайту,кваліфікований електронний підпис</t>
  </si>
  <si>
    <t xml:space="preserve">Благодійна допомога в грошовому еквіваленті </t>
  </si>
  <si>
    <t xml:space="preserve">медикаменти та перевязувальні матеріали </t>
  </si>
  <si>
    <t>Нарахування амортизації на безоплатно отримані активи, усього, у т.ч.:</t>
  </si>
  <si>
    <t>нарахування амортизації на безоплатно отримані активи</t>
  </si>
  <si>
    <t xml:space="preserve"> </t>
  </si>
  <si>
    <t>Кошти бюджету ВМТГ</t>
  </si>
  <si>
    <t xml:space="preserve">ремонт та технічне обслуговування авто </t>
  </si>
  <si>
    <t xml:space="preserve">послуги з навчання </t>
  </si>
  <si>
    <t>публікація в газеті</t>
  </si>
  <si>
    <t xml:space="preserve">публікація в газеті </t>
  </si>
  <si>
    <t>Директор КНП "ВМКЛ"ЦМтаД"</t>
  </si>
  <si>
    <t>Кошти бюджету ВМТГ (залишки минулих періодів)</t>
  </si>
  <si>
    <t>Директор КНП"ВМКЛ"ЦМтаД"</t>
  </si>
  <si>
    <t>Розшифровка до розділу  IV "Капітальні інвестиції" за джерелами надходження</t>
  </si>
  <si>
    <t>кошти Вінницької міської  територіальної громади (ВМТГ)</t>
  </si>
  <si>
    <t>кошти Вінницької міської  територіальної громади (ВМТГ) (залиши минулих періодів)</t>
  </si>
  <si>
    <t xml:space="preserve">ДБЖ PowerWalker VFI 1000    </t>
  </si>
  <si>
    <t xml:space="preserve">Гініометр медичний </t>
  </si>
  <si>
    <t xml:space="preserve">адвокатські послуги </t>
  </si>
  <si>
    <t xml:space="preserve">Кошти від надання платних послуг </t>
  </si>
  <si>
    <t>3.1.</t>
  </si>
  <si>
    <t xml:space="preserve">паливно-мастильні матеріали </t>
  </si>
  <si>
    <t xml:space="preserve">оренда медичного обладнання </t>
  </si>
  <si>
    <t xml:space="preserve">ремонт приміщення </t>
  </si>
  <si>
    <t xml:space="preserve">банківські послуги </t>
  </si>
  <si>
    <t xml:space="preserve">дослідження води </t>
  </si>
  <si>
    <t>адміністративні послуги</t>
  </si>
  <si>
    <t xml:space="preserve">утилізація медичних відходів </t>
  </si>
  <si>
    <t xml:space="preserve">нарахування амортизації на безоплатно отримані активи </t>
  </si>
  <si>
    <t>9.1.</t>
  </si>
  <si>
    <t>9.1.1.</t>
  </si>
  <si>
    <t>9.1.2.</t>
  </si>
  <si>
    <t xml:space="preserve">кошти від надання платних послуг </t>
  </si>
  <si>
    <t xml:space="preserve">ремонт та технічне обслуговування медичного обладання </t>
  </si>
  <si>
    <t xml:space="preserve">Інші операційні витрати 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</si>
  <si>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ТГ</t>
  </si>
  <si>
    <t xml:space="preserve">куросурфи </t>
  </si>
  <si>
    <t>11.</t>
  </si>
  <si>
    <t xml:space="preserve">земельний податок </t>
  </si>
  <si>
    <t>1.2.1.</t>
  </si>
  <si>
    <t>зберігання архівної документації</t>
  </si>
  <si>
    <t>Дохід від оприбуткування вторсировини (металобрухт, медичних відходів)</t>
  </si>
  <si>
    <t>Інші операційні витрати, усього, у т.ч.</t>
  </si>
  <si>
    <t xml:space="preserve">металобрухт </t>
  </si>
  <si>
    <t xml:space="preserve">інформаційно-консультаційні послуги </t>
  </si>
  <si>
    <t xml:space="preserve">оцінка майна </t>
  </si>
  <si>
    <t>Інші джерела (НСЗУ, гуманітарна допомога,централізовані поставки)</t>
  </si>
  <si>
    <t xml:space="preserve">Капітальний ремонт </t>
  </si>
  <si>
    <t>дератизація та дезинфекція</t>
  </si>
  <si>
    <t>витрати на відрядження</t>
  </si>
  <si>
    <t>пільгова пенсія</t>
  </si>
  <si>
    <t xml:space="preserve">оплата природного газу </t>
  </si>
  <si>
    <t xml:space="preserve">оплата прирордного газу </t>
  </si>
  <si>
    <t xml:space="preserve">витрати на відрядження </t>
  </si>
  <si>
    <t xml:space="preserve">інструментальні дослідження </t>
  </si>
  <si>
    <t>лабораторні дослідження</t>
  </si>
  <si>
    <t xml:space="preserve">оцінка енергоефективності </t>
  </si>
  <si>
    <t>інструментальні дослідження</t>
  </si>
  <si>
    <t>3.1.1.</t>
  </si>
  <si>
    <t>5.1.</t>
  </si>
  <si>
    <t>5.</t>
  </si>
  <si>
    <t>5.1.1</t>
  </si>
  <si>
    <t>6.</t>
  </si>
  <si>
    <t>6.1.</t>
  </si>
  <si>
    <t>7.</t>
  </si>
  <si>
    <t>7.1.</t>
  </si>
  <si>
    <t>7.1.1.</t>
  </si>
  <si>
    <t>7.2.</t>
  </si>
  <si>
    <t>7.2.1.</t>
  </si>
  <si>
    <t>8.</t>
  </si>
  <si>
    <t>11.1.1.</t>
  </si>
  <si>
    <t>11.2.</t>
  </si>
  <si>
    <t>дохід від оприбуткування вторсировини (металобрухт, медичних відходів)</t>
  </si>
  <si>
    <t>санітарно-гігєнічне дослідження факторів виробничого середовища</t>
  </si>
  <si>
    <t>страхування цивільної відповідальності власників транспортних засобів</t>
  </si>
  <si>
    <t xml:space="preserve">повірка медичного обладнання </t>
  </si>
  <si>
    <t>медикаменти 2019-n CoV, предмети матеріали обладнання (в т.ч. медичного) та інвентарю</t>
  </si>
  <si>
    <t xml:space="preserve">страхування цивільно-праової відповідальності власників транспортних засобів </t>
  </si>
  <si>
    <t>санітарно-гігієнічне дослідження факторів виробничого середовища</t>
  </si>
  <si>
    <t xml:space="preserve">Генератор Kraftwele SDG18000S-A з вмонтованим контролером AVR </t>
  </si>
  <si>
    <t xml:space="preserve">neoBLUE cozy LED Phototherapy   </t>
  </si>
  <si>
    <t xml:space="preserve">Апарат ШВЛ для новонароджених та дітей DRAGER Babylog VN500 з комплектуючими                                   </t>
  </si>
  <si>
    <t xml:space="preserve">активна </t>
  </si>
  <si>
    <t xml:space="preserve">Набір отоскопів у футлярі  </t>
  </si>
  <si>
    <t xml:space="preserve">Лічильник х/в Ду 25(мактохолод)   </t>
  </si>
  <si>
    <t xml:space="preserve">Баня лабораторна водяна ВБ-4            </t>
  </si>
  <si>
    <t xml:space="preserve">Возик для прибирання б/у                                                                                                                                                                                </t>
  </si>
  <si>
    <t xml:space="preserve">Реабілітаційне ліжко б/у    </t>
  </si>
  <si>
    <t xml:space="preserve">Тумба приліжкова  </t>
  </si>
  <si>
    <t xml:space="preserve">Масажний столик складний                                             </t>
  </si>
  <si>
    <t xml:space="preserve">Блок живлення  </t>
  </si>
  <si>
    <t>Датчик температури дихальних шляхів Fisher &amp; Paykel</t>
  </si>
  <si>
    <t>Конектор центральної системи кисню</t>
  </si>
  <si>
    <t xml:space="preserve">Електрочайник Gallet BOU701R           </t>
  </si>
  <si>
    <t xml:space="preserve">Праска Philips 5000 Series DST5040/80            </t>
  </si>
  <si>
    <t xml:space="preserve">Дошка для прасування Eurogold 120*38см   </t>
  </si>
  <si>
    <t xml:space="preserve">Матрац б/у           </t>
  </si>
  <si>
    <t>Диспенсер для рушників</t>
  </si>
  <si>
    <t>Каталка для миття лежачих</t>
  </si>
  <si>
    <t xml:space="preserve">Крісло для збору крові   </t>
  </si>
  <si>
    <t>Акумуляторний налобний ліхтарик Ledlenser H8R для хірург.операцій у разі відключення електрики</t>
  </si>
  <si>
    <t xml:space="preserve">Перетворювач 220-110V 450W    </t>
  </si>
  <si>
    <t xml:space="preserve">Камера для зволожувача   </t>
  </si>
  <si>
    <t xml:space="preserve">Диван 2-х місний     </t>
  </si>
  <si>
    <t xml:space="preserve">Кушетка медична б/в    </t>
  </si>
  <si>
    <t xml:space="preserve">Точка доступа Ubsgusts UnsFs AC LR (вай фай)   </t>
  </si>
  <si>
    <t xml:space="preserve">Камера Стерил.бокс"Стандарт"        </t>
  </si>
  <si>
    <t xml:space="preserve">Стіл інструментальний СІ-5               </t>
  </si>
  <si>
    <t xml:space="preserve">Тонометр внутр.тиску по Маклакову        </t>
  </si>
  <si>
    <t xml:space="preserve">Машина сушильна           </t>
  </si>
  <si>
    <t xml:space="preserve">Ультразвукові ножиці багаторазові HD-RC-D03         </t>
  </si>
  <si>
    <t xml:space="preserve">Дитяче лікарняне ліжко Buddy L-T    </t>
  </si>
  <si>
    <t xml:space="preserve">Ліжко для новонароджених NP-50 </t>
  </si>
  <si>
    <t xml:space="preserve">Обтуратор оптичний(набір до гістерорезектоскопу)    </t>
  </si>
  <si>
    <t xml:space="preserve">Кабель високочастотний(набір до гістерорезектоскопу) </t>
  </si>
  <si>
    <t xml:space="preserve">Пральна машина вузька INDESIT OMTWSE 61051 WK EU   </t>
  </si>
  <si>
    <t xml:space="preserve">Ширма розділювач з лого 5-ти секційна          </t>
  </si>
  <si>
    <t xml:space="preserve">Мережеве сховище SYNOLOGY NAS DS+Series 8 TB HDD    </t>
  </si>
  <si>
    <t xml:space="preserve">Кольпоскоп МК-200 з відеосистемою (230232)           </t>
  </si>
  <si>
    <t xml:space="preserve">Інструмент для фототерапії </t>
  </si>
  <si>
    <t xml:space="preserve">Зволожувач  </t>
  </si>
  <si>
    <t>Холодильник для вакцин</t>
  </si>
  <si>
    <t>Інкубатор для перевезення немовлят (комплект кисневих балонів, змін акумулят.та дроти, АШВЛ, візок,носилки)</t>
  </si>
  <si>
    <t>Генератор FLMFRAA 300 OTO/ KB/JN 240kW/300kVA/50 Hz/Engine:FORD/9G30/Diesel,Voitage 400/231 V,650 I fuel tank з набором для інсталяції</t>
  </si>
  <si>
    <t xml:space="preserve">Електрокоагулятор високочастотний зварювальний МАРК АІ в комплекті </t>
  </si>
  <si>
    <t xml:space="preserve">Тестер бактерицидних ламп УФ-радіометр,ТЕНЗОР-71Б(з калібруванням)   </t>
  </si>
  <si>
    <t xml:space="preserve">Лапароскоп  </t>
  </si>
  <si>
    <t xml:space="preserve">Мікроскоп серії BioBlue              </t>
  </si>
  <si>
    <t xml:space="preserve">Мікроскоп серії BioBlue BB/4260    </t>
  </si>
  <si>
    <t xml:space="preserve">Датчик конвексний RAB2-5-D           </t>
  </si>
  <si>
    <t xml:space="preserve">Ендоскоп(до набору гістерорезектоскопу)       </t>
  </si>
  <si>
    <t xml:space="preserve">Робочий елемент,пасивний(до набору гістерорезектоскопу)   </t>
  </si>
  <si>
    <t xml:space="preserve">Стілець б/у(27 шт)               </t>
  </si>
  <si>
    <t>Реконструкція частини покрівлі будівлі лікарні (літера Л) з влаштуванням сонячної електростанції КНП "ВМКЛ "ЦМтаД" по вул.Синьоводській, 142 (заходи з енергозбереження)</t>
  </si>
  <si>
    <t>Бюджетне фінансування (міський бюджет, державний бюджет)</t>
  </si>
  <si>
    <t>проведення наглядового аудиту сертифікації управління якістю</t>
  </si>
  <si>
    <t>оцінка енергоефективності</t>
  </si>
  <si>
    <t xml:space="preserve">профвнески </t>
  </si>
  <si>
    <t>2.1.</t>
  </si>
  <si>
    <t>2.1.1.</t>
  </si>
  <si>
    <t>2.1.2.</t>
  </si>
  <si>
    <t>2.1.3.</t>
  </si>
  <si>
    <t>2.1.4.</t>
  </si>
  <si>
    <t>2.1.5.</t>
  </si>
  <si>
    <t>2.2.</t>
  </si>
  <si>
    <t>2.2.1</t>
  </si>
  <si>
    <t>2.2.2</t>
  </si>
  <si>
    <t>2.3.</t>
  </si>
  <si>
    <t>2.3.1</t>
  </si>
  <si>
    <t>Кошти від надання платних послуг (запаси минулих періодів)</t>
  </si>
  <si>
    <t>4.</t>
  </si>
  <si>
    <t>4.1.</t>
  </si>
  <si>
    <t>4.1.1.</t>
  </si>
  <si>
    <t>4.1.2.</t>
  </si>
  <si>
    <t>4.2.</t>
  </si>
  <si>
    <t>4.2.1</t>
  </si>
  <si>
    <t>10.</t>
  </si>
  <si>
    <t>10.1.</t>
  </si>
  <si>
    <t>10.1.1</t>
  </si>
  <si>
    <t>10.1.2.</t>
  </si>
  <si>
    <t>10.1.3.</t>
  </si>
  <si>
    <t>10.2</t>
  </si>
  <si>
    <t>10.2.1.</t>
  </si>
  <si>
    <t>10.2.2</t>
  </si>
  <si>
    <t>10.3.</t>
  </si>
  <si>
    <t>10.3.1.</t>
  </si>
  <si>
    <t>11.1.</t>
  </si>
  <si>
    <t>11.2.1</t>
  </si>
  <si>
    <t xml:space="preserve">підготовка системи опалення до опалювального сезону </t>
  </si>
  <si>
    <t>медикаменти 2019-n COV, предмети матеріали обладнання (в т.ч.ч медичного) та інвентраю</t>
  </si>
  <si>
    <t xml:space="preserve">адміністративні послуги </t>
  </si>
  <si>
    <t xml:space="preserve">Система обігріву пацієнта ІНС-2000 CosyTherm2     </t>
  </si>
  <si>
    <t xml:space="preserve">Медичне ліжко Avanguard 1200        </t>
  </si>
  <si>
    <t xml:space="preserve">Мікрохвильова піч ERGO EM-2075      </t>
  </si>
  <si>
    <t xml:space="preserve">Сфігмоманометр, Babyphon, 1 трубка, з 3 манжетами 5/7/10 см </t>
  </si>
  <si>
    <t xml:space="preserve">Регулятор швидкості потока кисню (Флоуметр-DIN)        </t>
  </si>
  <si>
    <t xml:space="preserve">Комод на 4 шухляди "CAT" 940х450х390 мм, сірий                                                                                                                                                          </t>
  </si>
  <si>
    <t xml:space="preserve">Ваги підлогові електронні SCARLETT SC-BS33E077 йога коти                                                                                                                                                </t>
  </si>
  <si>
    <t xml:space="preserve">Диспенсер для дезінфекції рук (ручний, ліктєвий) 1л                                                                                                                                                     </t>
  </si>
  <si>
    <t xml:space="preserve">Роздавальник складн. паперов. рушників білий V-620                                                                                                                                                      </t>
  </si>
  <si>
    <t xml:space="preserve">Киснева розетка стандартна DIN          </t>
  </si>
  <si>
    <t xml:space="preserve">Стіл комп'ютерний        </t>
  </si>
  <si>
    <t xml:space="preserve">Автоматичний перемикач (блок ATS)                                                                                                                                                                       </t>
  </si>
  <si>
    <t xml:space="preserve">Стерилізатор паровий, 39 л                         </t>
  </si>
  <si>
    <t xml:space="preserve">Набір Embrace Nest Infant Warmer (starter pack, baby trap and warm pack) (конверт з підігрівом) </t>
  </si>
  <si>
    <t xml:space="preserve">Крісло-реклайнер із шкірозамінника Jeff чорне </t>
  </si>
  <si>
    <t xml:space="preserve">Інфузійний насос з аксесуарами   </t>
  </si>
  <si>
    <t xml:space="preserve">Пульсоксиметр портативний постійний з частотою дихання </t>
  </si>
  <si>
    <t xml:space="preserve">Ваги мати/дитина, 150 кг, на батарейці           </t>
  </si>
  <si>
    <t xml:space="preserve">Стерилізатор паровий, 24 л   </t>
  </si>
  <si>
    <t xml:space="preserve">Інкубатор для немовлят Embrace Nest Infant Warmer   </t>
  </si>
  <si>
    <t xml:space="preserve">Оглядове гінекологічне крісло б/в    </t>
  </si>
  <si>
    <t xml:space="preserve">Дозатор механічний одноканальний Proline 10-100 мкл.   </t>
  </si>
  <si>
    <t xml:space="preserve">Ультразвуковий зволожувач повітря H2O Humidifier 500мл </t>
  </si>
  <si>
    <t xml:space="preserve">Крісло для перевезення         </t>
  </si>
  <si>
    <t xml:space="preserve">Крісла туалети      </t>
  </si>
  <si>
    <t xml:space="preserve">Комод      </t>
  </si>
  <si>
    <t xml:space="preserve">Системний блок </t>
  </si>
  <si>
    <t xml:space="preserve">Шафа з полицями   </t>
  </si>
  <si>
    <t xml:space="preserve">Глюкометр 300 тест і ланцети 1 МОДУЛЬ      </t>
  </si>
  <si>
    <t xml:space="preserve">Дитяче ліжко б/в    </t>
  </si>
  <si>
    <t xml:space="preserve">Матрац дитячий </t>
  </si>
  <si>
    <t xml:space="preserve">страхування майна </t>
  </si>
  <si>
    <t xml:space="preserve">Стілець б/у               </t>
  </si>
  <si>
    <t xml:space="preserve">Тубус зовнішній(до набору гістерорезектоскопу)        </t>
  </si>
  <si>
    <t xml:space="preserve">Обтуратор зовнішній,з рухомою робочою частиною(набір до гістерорезектоскоп)  </t>
  </si>
  <si>
    <t xml:space="preserve">Тубус внутрішній(набір до гістерорезектоскопу)                                                                                                                                                          </t>
  </si>
  <si>
    <t xml:space="preserve">Обтуратор внутрішній,з рухомою робочою частиною(набір до гістерорезектоскопу)  </t>
  </si>
  <si>
    <t xml:space="preserve">Мікрохвильова пч Edler ED-2068C   </t>
  </si>
  <si>
    <t xml:space="preserve">Стелаж 6-ти секційний (в реєстратуру)            </t>
  </si>
  <si>
    <t xml:space="preserve">Стіл комп"ютерний      </t>
  </si>
  <si>
    <t xml:space="preserve">Бактерицидний рециркулятор    </t>
  </si>
  <si>
    <t xml:space="preserve">Телевізор бу       </t>
  </si>
  <si>
    <t xml:space="preserve">Акумуляторна батарея 108 045 45Ah/12V               </t>
  </si>
  <si>
    <t xml:space="preserve">Апарат бактерицидної дії УФІТ-СМ   </t>
  </si>
  <si>
    <t xml:space="preserve">Шафа для вентиляційної системи      </t>
  </si>
  <si>
    <t xml:space="preserve">Біполярний затискач                          </t>
  </si>
  <si>
    <t xml:space="preserve">Електрична шафа                                     </t>
  </si>
  <si>
    <t xml:space="preserve">Резервуар випаровувача                            </t>
  </si>
  <si>
    <t xml:space="preserve">Набір терморегулятора С2000                                                  </t>
  </si>
  <si>
    <t xml:space="preserve">Диван-ліжко (Сірий,198*84)   </t>
  </si>
  <si>
    <t xml:space="preserve">Шафа для паперів            </t>
  </si>
  <si>
    <t xml:space="preserve">Вогнегасник порошковий ОП-6       </t>
  </si>
  <si>
    <t>Кольпоскоп МК-200 з відеосистемою та варіоб"єктивом f=200-400мм(230231</t>
  </si>
  <si>
    <t xml:space="preserve">Комутатор Cisco CBS 220 48*GE      </t>
  </si>
  <si>
    <t xml:space="preserve">Комутатор Cisco 24*10/100/1000            </t>
  </si>
  <si>
    <t xml:space="preserve">Електротерапевтичний прилад StimRehab2 MT 2200      </t>
  </si>
  <si>
    <t xml:space="preserve">Апарат для міостимуляції АУСЕ-01 (8-канальний)     </t>
  </si>
  <si>
    <t xml:space="preserve">Інфузійний насос BeneFusion uVP              </t>
  </si>
  <si>
    <t xml:space="preserve">Будівля котельні по вул.Коцюбинського,50 цегляна               </t>
  </si>
  <si>
    <t xml:space="preserve">Труба котельні по вул.Коцюбинського,50димова металева           </t>
  </si>
  <si>
    <t xml:space="preserve">Коагулятор медичний ендоскопічний електричний RO-ESU400          </t>
  </si>
  <si>
    <t xml:space="preserve">Візок мобільний регульваний по висоті для пересування системи з можливістю підключення трьох датчиків для Versana Active      </t>
  </si>
  <si>
    <t xml:space="preserve">Пральна машина </t>
  </si>
  <si>
    <t xml:space="preserve">Стелаж для бутильованої води 2*0,7*2м </t>
  </si>
  <si>
    <t>Стелаж для бутильованої води 1,2*0,7*2м</t>
  </si>
  <si>
    <t>Стелаж для продуктів харчування 2*1,0*2м</t>
  </si>
  <si>
    <t>Розкладний портативний пандус</t>
  </si>
  <si>
    <t>Ножиці лапароскопічні, 5*330мм, вигнуті, з двома рухомими браншами  (6 шт)</t>
  </si>
  <si>
    <t xml:space="preserve">Реабілітаційне ліжко б/у (10 шт)   </t>
  </si>
  <si>
    <t xml:space="preserve">Стілець б/у (21 шт)              </t>
  </si>
  <si>
    <t>Тумба приліжкова  (6 шт)</t>
  </si>
  <si>
    <t xml:space="preserve">Матрац б/у  (10 шт)         </t>
  </si>
  <si>
    <t xml:space="preserve">Стільці б/в (5 шт)         </t>
  </si>
  <si>
    <t>Електрод петля(до набору гістерорезектоскопу)  (8 шт)</t>
  </si>
  <si>
    <t xml:space="preserve">Тумба прикроватна (15 шт)                       </t>
  </si>
  <si>
    <t xml:space="preserve">Софа офісна(помаранчева) (11 шт)             </t>
  </si>
  <si>
    <t xml:space="preserve">Блок живлення до системних IP телефонів (14 шт)         </t>
  </si>
  <si>
    <t xml:space="preserve">Простирадло 1-но спальне б/в (67 шт)                                                                                                                                                                           </t>
  </si>
  <si>
    <t xml:space="preserve">Простирадло 2-х спальне б/в  (113 шт)     </t>
  </si>
  <si>
    <t xml:space="preserve">Підковдра 1,2*2,0 б/в (8 шт)           </t>
  </si>
  <si>
    <t xml:space="preserve">Рушники кухонні б/в (30 шт)          </t>
  </si>
  <si>
    <t xml:space="preserve">Кушетка медична б/в (7 шт)              </t>
  </si>
  <si>
    <t xml:space="preserve">Ліжко 1900*900*450мм з матрацом (25 шт) </t>
  </si>
  <si>
    <t>Шафа для одягу 2000*1000*500мм (15 шт)</t>
  </si>
  <si>
    <t>Столик пеленальний з матрацом та полицями  (16 шт)</t>
  </si>
  <si>
    <t>Кухонний набір в палату 2700*600*850мм (в комплекті з мийками та змішувачами) (15 шт)</t>
  </si>
  <si>
    <t xml:space="preserve">Стіл кухонний 1000*600*750мм на квадратних ногах (15 шт)      </t>
  </si>
  <si>
    <t xml:space="preserve">Табурет на металевому каркасі  (30 шт)                                                                                                                                                                         </t>
  </si>
  <si>
    <t xml:space="preserve">Апарат штучної вентиляції легень Savina 300     </t>
  </si>
  <si>
    <t xml:space="preserve">експертний висновок </t>
  </si>
  <si>
    <t>Модернізація, модифікація (добудова, дообладнання, реконструкція) основних засобів (розшифрувати)</t>
  </si>
  <si>
    <t>ЗВІТ
 про виконання показників фінансового плану Комунального некомерційного підприємства                                                                                                                                                                                                                                                                                                                                                     "Вінницька міська клінічна лікарня "Центр матері та дитини"
за 2024 рік</t>
  </si>
  <si>
    <t>Факт                   за 2023 рік</t>
  </si>
  <si>
    <t>План 
за 2024 рік</t>
  </si>
  <si>
    <t>Факт 
за 2024 рік</t>
  </si>
  <si>
    <t>Система ультразвукова діагностична</t>
  </si>
  <si>
    <t xml:space="preserve">Аналізатор електролітів </t>
  </si>
  <si>
    <t>Тренажер для вібротерапії (в комплекті бруси для відновлення навиків ходьби з перешкодами)</t>
  </si>
  <si>
    <t xml:space="preserve">Апрограмно-технічний комплекс для осіб з фізичними вадами </t>
  </si>
  <si>
    <t>Пристрій для реабілітація для рук та ніг</t>
  </si>
  <si>
    <t xml:space="preserve">Система ендоскопічної візуалізації </t>
  </si>
  <si>
    <t xml:space="preserve">Транспортна каталка Stryker                                                                                                                                                                             </t>
  </si>
  <si>
    <t xml:space="preserve">Отоскоп / Офтальмоскоп Welch Allun                                                                                                                                                                      </t>
  </si>
  <si>
    <t xml:space="preserve">Інкубатор GE Incubator Giraffe Omnibed (3 шт)                                 </t>
  </si>
  <si>
    <t xml:space="preserve">Монітор пацієнта портативний з доступом (12 шт)   </t>
  </si>
  <si>
    <t xml:space="preserve">Система редукування тиску кисню                            </t>
  </si>
  <si>
    <t xml:space="preserve">Столик мануальний для реабілітації з навантаженням ТБ/О    </t>
  </si>
  <si>
    <t>Реабілітаційний стіл для терапії широкий з електричним регулюванням висоти СР-3Е-Б</t>
  </si>
  <si>
    <t xml:space="preserve">Кондиціонер SENSEI SAC-12SKWN/I         </t>
  </si>
  <si>
    <t xml:space="preserve">Інфрачервоний обігрівач для новонароджених SunflowerWarmer                                                                                                                                              </t>
  </si>
  <si>
    <t xml:space="preserve">Апарат штучної вентиляції легенів(Laerdal Servi Ventilator)    </t>
  </si>
  <si>
    <t xml:space="preserve">Монітор пацієнта SC300N                                                                               </t>
  </si>
  <si>
    <t xml:space="preserve">Цифровий портативний колькоскоп APOMED (720h HD)     </t>
  </si>
  <si>
    <t xml:space="preserve">Шприцевий -2 інфузійний насос     </t>
  </si>
  <si>
    <t xml:space="preserve">Молоковідсмоктувач KITETT(R) FISIO(R) електричний, в комплекті з наборами для зціджування               </t>
  </si>
  <si>
    <t>Стетоскоп неонатальний (27 шт)</t>
  </si>
  <si>
    <t xml:space="preserve">Полиця                                                                                                                                                                                                  </t>
  </si>
  <si>
    <t xml:space="preserve">Дозатор ліктьовий 1л, 9,4*10*25 см, хром                                                                                                                                                                </t>
  </si>
  <si>
    <t>ДБЖ PowerWalker VFI 1000 (3 шт)</t>
  </si>
  <si>
    <t xml:space="preserve">Подушка стьобана (60 шт)       </t>
  </si>
  <si>
    <t xml:space="preserve">Ролети Льон 0875 (в асортименті)                                                                                                                                                                      </t>
  </si>
  <si>
    <t xml:space="preserve">Отоскоп (5 шт)                 </t>
  </si>
  <si>
    <t>Шприцевий насос (3 шт)</t>
  </si>
  <si>
    <t xml:space="preserve">Сфігроманометр (13 шт)                </t>
  </si>
  <si>
    <t xml:space="preserve">Матраци Sogum MS-50                                                                                                                                                                                     </t>
  </si>
  <si>
    <t xml:space="preserve">Шафа для одягу                                                                                                                                                                                          </t>
  </si>
  <si>
    <t xml:space="preserve">Багатофункціональний пристрій Canon MF3010     </t>
  </si>
  <si>
    <t xml:space="preserve">Принтер Canon LBP-6030B(чорний)   </t>
  </si>
  <si>
    <t xml:space="preserve">Бак для сміття 240л </t>
  </si>
  <si>
    <t xml:space="preserve">Крісло Ultra сидіння А-1/спинка Сітка чорна,вставка Скаден чорний  </t>
  </si>
  <si>
    <t xml:space="preserve">Камертон, С128            </t>
  </si>
  <si>
    <t xml:space="preserve">Портативний прилад МАГ 30-4       </t>
  </si>
  <si>
    <t xml:space="preserve">Апарат Амбліопанорама      </t>
  </si>
  <si>
    <t xml:space="preserve">Апарат для гальванізації та електрофорезу ПОТОК-01М </t>
  </si>
  <si>
    <t xml:space="preserve">Освітлювач таблиць для визначення зору АР-1(Апарат Рота)        </t>
  </si>
  <si>
    <t xml:space="preserve">Бенкетка медична коридорна 3-місна        </t>
  </si>
  <si>
    <t xml:space="preserve">Апарат спектральний офтальмологічний АСО-ЗУМ         </t>
  </si>
  <si>
    <t xml:space="preserve">Макулостимулятор МКС        </t>
  </si>
  <si>
    <t xml:space="preserve">Світильник "Медика" ОБМ-75МЕ з лампою UW-30W                         </t>
  </si>
  <si>
    <t xml:space="preserve">Світильник "Медика" ОБМ-150МЕ з двома лампами ТUW-30W </t>
  </si>
  <si>
    <t>Світильник світлодіодний DELUX REL-901 (2*3.7 V2Ah) 90LED 6W 480х68х38</t>
  </si>
  <si>
    <t xml:space="preserve">Системний блок(Корпус FrimeCom MX 10 MiniTOWER,GameMax GM-450B,(450Вт), MB Asus PRIME H510M-K ,Накопичувач Samsung ,Комплект А4-Tech Fstyler </t>
  </si>
  <si>
    <t xml:space="preserve">Апарат Струмочок для тренування акомодації  </t>
  </si>
  <si>
    <t xml:space="preserve">Обігрівач для новонароджених б\в         </t>
  </si>
  <si>
    <t xml:space="preserve">Комплексна діагностична система ,обладнання для ЛОР кабінету б\в                                                               </t>
  </si>
  <si>
    <t xml:space="preserve">Крісло гінекологічне б\в      </t>
  </si>
  <si>
    <t xml:space="preserve">Центрифуга лабораторна б\в       </t>
  </si>
  <si>
    <t xml:space="preserve">Стіл-тумба маніпуляційний пересувний б\в     </t>
  </si>
  <si>
    <t xml:space="preserve">Апарат Accu-Chek Inform II б\в   </t>
  </si>
  <si>
    <t xml:space="preserve">Вгнегасник Jockel              </t>
  </si>
  <si>
    <t xml:space="preserve">Небулайзер Pulmo Aide б\в                                                                                                                                                                               </t>
  </si>
  <si>
    <t xml:space="preserve">Тонометр microlife  </t>
  </si>
  <si>
    <t>Мед.ендоскопіч кемера(відеозапс.пристрій,електрич.коагулятор,газ.інсуфлятор</t>
  </si>
  <si>
    <t>Монітор пацієнта (3 шт)</t>
  </si>
  <si>
    <t>Капітальний ремонт приміщень четвертого поверху пологового будинку міської лікарні «Центр матері та дитини» за адресою: Україна, м. Вінниця, вул. Маяковського, 138</t>
  </si>
  <si>
    <t xml:space="preserve">Капітальний ремонт споруд цивільного захисту (укриттів, бомбосховищ тощо) комунальних некомерційних підприємств охорони здоров'я </t>
  </si>
  <si>
    <t>Капітальний ремонт системи блискавкозахисту будівель пологового будинку та дитячого стаціонару КНП "ВМКЛ "ЦМтаД" за адресою м.Вінниця, вул. Синьоводська, 142  (підготовка обєктів до опалювального сезону)</t>
  </si>
  <si>
    <t>Реконструкція частини покрівлі будівлі пологового будинку з влаштуванням сонячної електростанції КНП "ВМКЛ "ЦМтаД" по вул.Синьоводській, 142 (заходи з енергозбереження)</t>
  </si>
  <si>
    <t>Виготовлення ПКД за капремонт лікувльно-реабілітаційного відділення дитячого стаціонару міської лікарні «Центр матері та дитини» за адресою: Україна, м. Вінниця, вул. Синьоводська, 142</t>
  </si>
  <si>
    <t>План 
за  2024 рік</t>
  </si>
  <si>
    <t>Факт 
за  2024 рік</t>
  </si>
  <si>
    <t>оцінка енергоефективності та технічного стану</t>
  </si>
  <si>
    <t>програма СТОП ГРИП</t>
  </si>
  <si>
    <t xml:space="preserve">медичний ендоскопічний електричний коагутор </t>
  </si>
  <si>
    <t xml:space="preserve">мікроскоп монокулярний </t>
  </si>
  <si>
    <t xml:space="preserve">мікроскоп бінокулярний </t>
  </si>
  <si>
    <t>апарат швл Savina 300</t>
  </si>
  <si>
    <t xml:space="preserve">капітальне будівництво </t>
  </si>
  <si>
    <t xml:space="preserve">нове будівництво розслідувально-експлуатаційної свердловини для господарсько-питного водопостачання КНП "ВМКЛ "ЦМтаД" по Синьоводська, 142 </t>
  </si>
  <si>
    <t>Реконструкція мереж електропосатчання будівлі стаціонару (літера Л) та будівлі пологового будинку (літера В) з влаштуванням дизель-генератора для забезпечення резервного живлення в КНП "ВМКЛ "ЦМтаД" за адресою м.Вінниця, вул. Синьоводська, 142</t>
  </si>
  <si>
    <t>Капітальний ремонт Монтаж та налагодження системи пожежної сигналізації, керування евакуюванням (в частині мовленнєвого оповіщення про пожежу), централізованого пожежного спостерігання в  «Вінницька міська клінічна лікарня «Центр матері та дитини» за адресою: Україна, м. Вінниця, вул. Синьоводська, 142</t>
  </si>
  <si>
    <t xml:space="preserve">Капітальний ремонт вентиляційної системи пологового будинку комунального некомерційного підприємства «Вінницька міська клінічна лікарня «Центр матері та дитини» за адресою: Україна, м. Вінниця, вул. Синьоводська, 142 </t>
  </si>
  <si>
    <t>Капітальний ремонт приміщень п`ятого поверху з заміною інженерних мереж будівлі пологового будинку (літера Л) комунального некомерційного підприємства «Вінницька міська клінічна лікарня «Центр матері та дитини» за адресою: Україна, м. Вінниця, вул. Синьоводська, 142</t>
  </si>
  <si>
    <t>план  
2024 року</t>
  </si>
  <si>
    <t>факт  
2024 року</t>
  </si>
  <si>
    <t xml:space="preserve">Капітальне будівництво </t>
  </si>
  <si>
    <t xml:space="preserve">Апврат штучної вентиляції легень Savina 300     </t>
  </si>
  <si>
    <t xml:space="preserve">Світильник оглядовий VioLight -3                 </t>
  </si>
  <si>
    <t xml:space="preserve">Мікроскоп серії BioBlue      </t>
  </si>
  <si>
    <t xml:space="preserve">Сходи з похилою площиною для дорослих СХП-1   </t>
  </si>
  <si>
    <t xml:space="preserve">Осушувач стисненого повітря                     </t>
  </si>
  <si>
    <t xml:space="preserve">Компресор безшумний,безмасляний    </t>
  </si>
  <si>
    <t>Гібридний однофазний інвертор Deye SUN-12K-SG02LP1-EU-AM3(12 kW,1 фаза )</t>
  </si>
  <si>
    <t xml:space="preserve">Акумуляторна батарея Deye RW-M6.1-В 51.2в 120 АН      </t>
  </si>
  <si>
    <t xml:space="preserve">Робоче мусце консультанта (моноблок(кодек,камеру,дисплей,мікрофон,гучномовець),кабель,кабель,блок живлення) </t>
  </si>
  <si>
    <t xml:space="preserve">Фетальний монітор FC 700    </t>
  </si>
  <si>
    <t xml:space="preserve">ШВЛ система вентиляції легенів /DemAir Macawi Ventilator,1         </t>
  </si>
  <si>
    <t xml:space="preserve">Стійка до системи вентиляції легень/Trolly for DemcAir Macawi Ventilator,1    </t>
  </si>
  <si>
    <t xml:space="preserve">Система контролю доступу                </t>
  </si>
  <si>
    <t xml:space="preserve">Система відеонагляду                     </t>
  </si>
  <si>
    <t xml:space="preserve">Телевізор 55 "LED 4R LG 55UP75006LF Smart,Чорний  </t>
  </si>
  <si>
    <t xml:space="preserve">Система для прибирання Mistral Moboxx         </t>
  </si>
  <si>
    <t xml:space="preserve">Принтер А4 Canon i-SANSYS LBP6030B (бандл з 2 картриджами)    </t>
  </si>
  <si>
    <t xml:space="preserve">Підігрівач інфузійних розчинів та крові FT800   </t>
  </si>
  <si>
    <t>Крісло для забору крові (крісло донорське сорбційне) ВР -1Е Заповіт</t>
  </si>
  <si>
    <t xml:space="preserve">Лампа фототерапії     </t>
  </si>
  <si>
    <t xml:space="preserve">Апарат Ультразвук        </t>
  </si>
  <si>
    <t xml:space="preserve">Крісло реклайнер         </t>
  </si>
  <si>
    <t xml:space="preserve">Тумба приліжкова Da 1021  </t>
  </si>
  <si>
    <t xml:space="preserve">Комп.тех.:ЖК-монітор 19-1шт,системний блок-1шт,клавіатура-1шт,оптична мишка-1шт,ДБЖ-1шт,З=0,7кВТ,U=220В/1/50Гц       </t>
  </si>
  <si>
    <t xml:space="preserve">Холодильник з морозильною камерою </t>
  </si>
  <si>
    <t xml:space="preserve">Ресепшен                  </t>
  </si>
  <si>
    <t xml:space="preserve">Випромінювач бактерицидний ОВВ 30 Р       </t>
  </si>
  <si>
    <t xml:space="preserve">Шафа медична ШМс-5              </t>
  </si>
  <si>
    <t xml:space="preserve">Щит пожежний   </t>
  </si>
  <si>
    <t xml:space="preserve">Електроплитка Елна-020Н                      </t>
  </si>
  <si>
    <t xml:space="preserve">Чайник електричний   </t>
  </si>
  <si>
    <t xml:space="preserve">Дзеркало в МДФ рамі   </t>
  </si>
  <si>
    <t xml:space="preserve">Прилад для фотометричних та імунотурбідиметричних  </t>
  </si>
  <si>
    <t xml:space="preserve">Робоча станція на штативі QuikRead Go  </t>
  </si>
  <si>
    <t xml:space="preserve">Лазерний принтер Canon LBP-6030B (8468B006)           </t>
  </si>
  <si>
    <t xml:space="preserve">Дзеркало в МДФ рамі 1700-700    </t>
  </si>
  <si>
    <t xml:space="preserve">Дзеркало з піскоструйною обробкою на корпусі 2000-1500 </t>
  </si>
  <si>
    <t xml:space="preserve">Офтальмоскоп "БІОМЕД"                                                                                                                                                                                   </t>
  </si>
  <si>
    <t xml:space="preserve">Столик для приладів СП-1         </t>
  </si>
  <si>
    <t xml:space="preserve">Столик-тумбочка приліжкова СТ-ТПП-2Я     </t>
  </si>
  <si>
    <t>ТВ-антенна Emos EM-9016C(J0664)зовнішня,0-80km,360град.20 дБі</t>
  </si>
  <si>
    <t xml:space="preserve">Широкосмуговий будинковий підсилювач    </t>
  </si>
  <si>
    <t xml:space="preserve">Джерело безперебійного живлення Eaton 5E650IUSB + фільтр  </t>
  </si>
  <si>
    <t xml:space="preserve">Глюкометр  </t>
  </si>
  <si>
    <t xml:space="preserve">Стерилбокс </t>
  </si>
  <si>
    <t xml:space="preserve">Ваги медичні з телескопічним ростоміром </t>
  </si>
  <si>
    <t xml:space="preserve">Тумба               </t>
  </si>
  <si>
    <t xml:space="preserve">Шафа для паперів         </t>
  </si>
  <si>
    <t xml:space="preserve">Стілець пристаний     </t>
  </si>
  <si>
    <t xml:space="preserve">Шафа комбінована      </t>
  </si>
  <si>
    <t xml:space="preserve">Журнальний столик    </t>
  </si>
  <si>
    <t xml:space="preserve">Шафа виставкова                                                                                                                                                                                         </t>
  </si>
  <si>
    <t xml:space="preserve">Стіл кухонний 1400*800*750мм          </t>
  </si>
  <si>
    <t xml:space="preserve">Столик хірургічний    </t>
  </si>
  <si>
    <t>Протигаз фільтруючий(маска ШМП з комбінованим фільтром)    (50 шт)</t>
  </si>
  <si>
    <t xml:space="preserve">Штатив для вливань ШТ-1 (5 шт)                    </t>
  </si>
  <si>
    <t xml:space="preserve">Столик анестезiолога  (2 шт)     </t>
  </si>
  <si>
    <t xml:space="preserve">Стійка для приладів СТП-1 (4 шт)   </t>
  </si>
  <si>
    <t xml:space="preserve">Табурет Грас Неаполь N-20 на роликах (4 шт)                                             </t>
  </si>
  <si>
    <t>Стілець Аскона чорний Шкірзам чорний (35 шт)</t>
  </si>
  <si>
    <t>Софа офісна (3 шт)</t>
  </si>
  <si>
    <t>Стерео окуляри для кольоротеста та програм для корекції зору (4 шт)</t>
  </si>
  <si>
    <t xml:space="preserve">Матрац б/в     (6 шт)                </t>
  </si>
  <si>
    <t xml:space="preserve">Функціональне (мед) ліжко з електроприв.б/в (5  шт)     </t>
  </si>
  <si>
    <t xml:space="preserve">Крісло Веб сидіння А-1/спинка Сітка чорна (2 шт)  </t>
  </si>
  <si>
    <t xml:space="preserve">Шафа ШМ-Д-М-М  (8 шт)       </t>
  </si>
  <si>
    <t xml:space="preserve">Столик приладовий СТ-П    (2 шт)                                                                                                                                                                              </t>
  </si>
  <si>
    <t xml:space="preserve">Столик хірургічний СТ-Х-Н    (2 шт)                   </t>
  </si>
  <si>
    <t xml:space="preserve">Столик анестезіолога СТ-А-2Н     (6 шт)     </t>
  </si>
  <si>
    <t xml:space="preserve">Нове будівництво розслідувально-експлуатаційної свердловини для господарсько-питного водопостачання КНП "ВМКЛ "ЦМтаД" по Синьоводська, 142 </t>
  </si>
  <si>
    <t xml:space="preserve">Холодильник побутовий 450мм    (16 шт)                  </t>
  </si>
  <si>
    <t>Мікрохвильова піч    (17 шт)</t>
  </si>
  <si>
    <t>Тумбочка приліжкова 403*403*596 мм    (30 шт)</t>
  </si>
  <si>
    <t xml:space="preserve">Столик пеленальний 890*450*780мм з матрацом та шухлядами  (4 шт)        </t>
  </si>
  <si>
    <t xml:space="preserve">Тумба БУЖ     (4 шт)           </t>
  </si>
  <si>
    <t>Стіл комп'ютерний  (6 шт)</t>
  </si>
  <si>
    <t xml:space="preserve">Диван    (3 шт)                  </t>
  </si>
  <si>
    <t>Стілець медичний Ст-12     (2 шт)</t>
  </si>
  <si>
    <t xml:space="preserve">Підставка для стирильної тари    (4 шт)  </t>
  </si>
  <si>
    <t xml:space="preserve">Столик маніпуляційний (9 шт)                  </t>
  </si>
  <si>
    <t xml:space="preserve">Крісло м'яке підвищеного комфорту (4 шт) </t>
  </si>
  <si>
    <t xml:space="preserve">Столик мобільний(ексклюзив)  (4 шт)                          </t>
  </si>
  <si>
    <t xml:space="preserve">Стелаж металевий 2000*1200*300мм   (4 шт) </t>
  </si>
  <si>
    <t xml:space="preserve">Тумба на колесах    (4 шт)        </t>
  </si>
  <si>
    <t xml:space="preserve">Крісло для годування    </t>
  </si>
  <si>
    <t xml:space="preserve">шафа для одягу </t>
  </si>
  <si>
    <t xml:space="preserve">Крісло поворотне (8шт)     </t>
  </si>
  <si>
    <t xml:space="preserve">Крісло поворотне (8 шт)     </t>
  </si>
  <si>
    <t>послуги транспотування та захоронення покійних</t>
  </si>
  <si>
    <t xml:space="preserve">експертний висновоку </t>
  </si>
  <si>
    <t>за 2024 рік</t>
  </si>
  <si>
    <t>за 2023 рік</t>
  </si>
  <si>
    <t>Звітний за 2024 рік</t>
  </si>
  <si>
    <t>Звітний за  2024 рік</t>
  </si>
  <si>
    <t>3.1.2.</t>
  </si>
  <si>
    <t>3.2.</t>
  </si>
  <si>
    <t>3.2.2.</t>
  </si>
  <si>
    <t>9.2.</t>
  </si>
  <si>
    <t>9.2.1.</t>
  </si>
  <si>
    <t>9.2.2.</t>
  </si>
  <si>
    <t>1.2.4.</t>
  </si>
  <si>
    <t>1.3.3.</t>
  </si>
  <si>
    <t>1.3.2.</t>
  </si>
  <si>
    <t>1.3.1.</t>
  </si>
  <si>
    <t>8.1.</t>
  </si>
  <si>
    <t>Розділ ІІІ. Рух грошових коштів</t>
  </si>
  <si>
    <t>І. Рух коштів у результаті операційної діяльності</t>
  </si>
  <si>
    <t xml:space="preserve">Надходження грошових коштів від операційної діяльності </t>
  </si>
  <si>
    <t>Виручка від реалізації продукції (товарів, робіт, послуг)</t>
  </si>
  <si>
    <t>Цільове фінансування  (розшифрувати)</t>
  </si>
  <si>
    <t>Надходження від відсотків за залишками коштів на поточних рахунках</t>
  </si>
  <si>
    <r>
      <t>Інші надходження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</si>
  <si>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t>Видатки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</si>
  <si>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</si>
  <si>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</si>
  <si>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Зобов’язання з податків, зборів та інших обов’язкових платежів, у тому числі:</t>
  </si>
  <si>
    <t xml:space="preserve">єдиний внесок на загальнообов'язкове державне соціальне страхування    </t>
  </si>
  <si>
    <t>інші платежі (розшифрувати)</t>
  </si>
  <si>
    <t>Чистий рух коштів від операційної діяльності</t>
  </si>
  <si>
    <t>II. Рух коштів у результаті інвестиційної діяльності</t>
  </si>
  <si>
    <t xml:space="preserve">Надходження грошових коштів від інвестиційної діяльності </t>
  </si>
  <si>
    <t xml:space="preserve">Інші надходження (розшифрувати) </t>
  </si>
  <si>
    <t xml:space="preserve">Видатки грошових коштів від інвестиційної діяльності </t>
  </si>
  <si>
    <t>Витрачання на придбання необоротних активів, у тому числі:</t>
  </si>
  <si>
    <t>Чистий рух коштів від інвестиційної діяльності 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</si>
  <si>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</si>
  <si>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</si>
  <si>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>Надходження від власного капіталу</t>
  </si>
  <si>
    <t>Надходження від отримання позик/кредитів/облігацій/векселів</t>
  </si>
  <si>
    <t xml:space="preserve">Видатки грошових коштів від фінансової діяльності </t>
  </si>
  <si>
    <t>Витрачання на погашення позик/кредитів/облігацій/векселів</t>
  </si>
  <si>
    <t>Витрачання на сплату дивідендів</t>
  </si>
  <si>
    <t>Витрачання на сплату відсотків за користування позиковим капіталом</t>
  </si>
  <si>
    <t>Чистий рух коштів від фінансової діяльності </t>
  </si>
  <si>
    <t>Чистий грошовий потік</t>
  </si>
  <si>
    <t>Залишок коштів на початок року</t>
  </si>
  <si>
    <t>Залишок коштів на кінець року</t>
  </si>
  <si>
    <t>Розшифровка до розділу  ІІІ "Рух грошових коштів (за прямим методом)"</t>
  </si>
  <si>
    <t>відхилення,
%</t>
  </si>
  <si>
    <t>Надходження грошових коштів від операційної діяльності</t>
  </si>
  <si>
    <t>Цільове фінансуванн, усього, у тому числі:</t>
  </si>
  <si>
    <t>кошти Вінницької міської обєднаної територіальної громади (ВМТГ)</t>
  </si>
  <si>
    <t>Інші надходження, усього, у тому числі:</t>
  </si>
  <si>
    <t>кошти, отримані від реалізації в установленому порядку майна (крім нерухомого майна)</t>
  </si>
  <si>
    <t>придбання (виготовлення) основних засобів,  усього, у тому числі:</t>
  </si>
  <si>
    <t xml:space="preserve">власні </t>
  </si>
  <si>
    <t>нсзу</t>
  </si>
  <si>
    <t>міський</t>
  </si>
  <si>
    <t>придбання (виготовлення) інших необоротних матеріальних активів, усього, у тому числі:</t>
  </si>
  <si>
    <t>Монітор пацієнта (2 шт)</t>
  </si>
  <si>
    <t xml:space="preserve">капітальний ремонт, усього, у тому числі: </t>
  </si>
  <si>
    <t xml:space="preserve">Володимир ПРИСЯЖНЮК </t>
  </si>
  <si>
    <r>
      <t xml:space="preserve">інші податки, збори та платежі </t>
    </r>
    <r>
      <rPr>
        <i/>
        <sz val="16"/>
        <color theme="1"/>
        <rFont val="Times New Roman"/>
        <family val="1"/>
        <charset val="204"/>
      </rPr>
      <t>(профспілкові внески</t>
    </r>
    <r>
      <rPr>
        <sz val="16"/>
        <color theme="1"/>
        <rFont val="Times New Roman"/>
        <family val="1"/>
        <charset val="204"/>
      </rPr>
      <t>)</t>
    </r>
  </si>
  <si>
    <t xml:space="preserve">Диван  (3 шт)                  </t>
  </si>
  <si>
    <t>6.1.1</t>
  </si>
  <si>
    <t>8.1.1</t>
  </si>
  <si>
    <t xml:space="preserve">(загальна 1783,3) в т.ч. 1738,3 + 45,0 нсзу </t>
  </si>
  <si>
    <t>міський УКРИТТЯ</t>
  </si>
  <si>
    <t>нсзу 4 поверх</t>
  </si>
  <si>
    <t>Система електроного виклику персонала</t>
  </si>
  <si>
    <t>Електрокардіограф портативний з вбудованим акумулятором багатоканальний</t>
  </si>
  <si>
    <t>міський 4 поверх</t>
  </si>
  <si>
    <t>все міський</t>
  </si>
  <si>
    <t xml:space="preserve">(загальна 1679,0) в т.ч. 1603,7 міськ+65,5 нсзу + 9,8 власні </t>
  </si>
  <si>
    <t>(загальна 12276.5) в т.ч. 6908.5.0 міськ+947.0 ОЗ м/б,  3956.6 обл. НСЗУ-439.7 роб. НСЗУ</t>
  </si>
  <si>
    <t>(загальна 5142,3) в т.ч. 4797,5 роботи + 344,8 в обладнанні</t>
  </si>
  <si>
    <t>(загальна 2954,9) в т.ч. 2878,4 міськ + 68,0 нсзу + 8,5 власні</t>
  </si>
  <si>
    <r>
      <t>Директор КНП "ВМКЛ"ЦМтаД"</t>
    </r>
    <r>
      <rPr>
        <sz val="14"/>
        <color theme="1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</si>
</sst>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3" formatCode="_-* #,##0.00\ _₴_-;\-* #,##0.00\ _₴_-;_-* &quot;-&quot;??\ _₴_-;_-@_-"/>
    <numFmt numFmtId="164" formatCode="#,##0&quot;р.&quot;;[Red]\-#,##0&quot;р.&quot;"/>
    <numFmt numFmtId="165" formatCode="#,##0.00&quot;р.&quot;;\-#,##0.00&quot;р.&quot;"/>
    <numFmt numFmtId="166" formatCode="_-* #,##0.00_р_._-;\-* #,##0.00_р_._-;_-* &quot;-&quot;??_р_._-;_-@_-"/>
    <numFmt numFmtId="167" formatCode="_-* #,##0.00_₴_-;\-* #,##0.00_₴_-;_-* &quot;-&quot;??_₴_-;_-@_-"/>
    <numFmt numFmtId="168" formatCode="_-* #,##0.00\ _г_р_н_._-;\-* #,##0.00\ _г_р_н_._-;_-* &quot;-&quot;??\ _г_р_н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_);_(@_)"/>
    <numFmt numFmtId="179" formatCode="_-* #,##0.0\ _₴_-;\-* #,##0.0\ _₴_-;_-* &quot;-&quot;?\ _₴_-;_-@_-"/>
    <numFmt numFmtId="180" formatCode="_-* #,##0.0_р_._-;\-* #,##0.0_р_._-;_-* &quot;-&quot;?_р_._-;_-@_-"/>
    <numFmt numFmtId="181" formatCode="_(* #,##0.0_);_(* \(#,##0.0\);_(* &quot;-&quot;??_);_(@_)"/>
  </numFmts>
  <fonts count="97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u/>
      <sz val="10"/>
      <color theme="10"/>
      <name val="Arial Cyr"/>
      <charset val="204"/>
    </font>
    <font>
      <b/>
      <i/>
      <sz val="14"/>
      <color theme="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1"/>
      <color rgb="FF9C65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0"/>
      <name val="Times New Roman"/>
      <family val="1"/>
      <charset val="204"/>
    </font>
    <font>
      <sz val="14"/>
      <name val="Arial Cyr"/>
      <charset val="204"/>
    </font>
    <font>
      <sz val="14"/>
      <color theme="1"/>
      <name val="Arial Cyr"/>
      <charset val="204"/>
    </font>
    <font>
      <b/>
      <sz val="14"/>
      <color rgb="FFFF0000"/>
      <name val="Times New Roman"/>
      <family val="1"/>
      <charset val="204"/>
    </font>
    <font>
      <b/>
      <i/>
      <sz val="14"/>
      <color rgb="FFFF0000"/>
      <name val="Times New Roman"/>
      <family val="1"/>
      <charset val="204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76"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27" fillId="2" borderId="0" applyNumberFormat="0" applyBorder="0" applyAlignment="0" applyProtection="0"/>
    <xf numFmtId="0" fontId="4" fillId="2" borderId="0" applyNumberFormat="0" applyBorder="0" applyAlignment="0" applyProtection="0"/>
    <xf numFmtId="0" fontId="27" fillId="3" borderId="0" applyNumberFormat="0" applyBorder="0" applyAlignment="0" applyProtection="0"/>
    <xf numFmtId="0" fontId="4" fillId="3" borderId="0" applyNumberFormat="0" applyBorder="0" applyAlignment="0" applyProtection="0"/>
    <xf numFmtId="0" fontId="27" fillId="4" borderId="0" applyNumberFormat="0" applyBorder="0" applyAlignment="0" applyProtection="0"/>
    <xf numFmtId="0" fontId="4" fillId="4" borderId="0" applyNumberFormat="0" applyBorder="0" applyAlignment="0" applyProtection="0"/>
    <xf numFmtId="0" fontId="27" fillId="5" borderId="0" applyNumberFormat="0" applyBorder="0" applyAlignment="0" applyProtection="0"/>
    <xf numFmtId="0" fontId="4" fillId="5" borderId="0" applyNumberFormat="0" applyBorder="0" applyAlignment="0" applyProtection="0"/>
    <xf numFmtId="0" fontId="27" fillId="6" borderId="0" applyNumberFormat="0" applyBorder="0" applyAlignment="0" applyProtection="0"/>
    <xf numFmtId="0" fontId="4" fillId="6" borderId="0" applyNumberFormat="0" applyBorder="0" applyAlignment="0" applyProtection="0"/>
    <xf numFmtId="0" fontId="27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27" fillId="8" borderId="0" applyNumberFormat="0" applyBorder="0" applyAlignment="0" applyProtection="0"/>
    <xf numFmtId="0" fontId="4" fillId="8" borderId="0" applyNumberFormat="0" applyBorder="0" applyAlignment="0" applyProtection="0"/>
    <xf numFmtId="0" fontId="27" fillId="9" borderId="0" applyNumberFormat="0" applyBorder="0" applyAlignment="0" applyProtection="0"/>
    <xf numFmtId="0" fontId="4" fillId="9" borderId="0" applyNumberFormat="0" applyBorder="0" applyAlignment="0" applyProtection="0"/>
    <xf numFmtId="0" fontId="27" fillId="10" borderId="0" applyNumberFormat="0" applyBorder="0" applyAlignment="0" applyProtection="0"/>
    <xf numFmtId="0" fontId="4" fillId="10" borderId="0" applyNumberFormat="0" applyBorder="0" applyAlignment="0" applyProtection="0"/>
    <xf numFmtId="0" fontId="27" fillId="5" borderId="0" applyNumberFormat="0" applyBorder="0" applyAlignment="0" applyProtection="0"/>
    <xf numFmtId="0" fontId="4" fillId="5" borderId="0" applyNumberFormat="0" applyBorder="0" applyAlignment="0" applyProtection="0"/>
    <xf numFmtId="0" fontId="27" fillId="8" borderId="0" applyNumberFormat="0" applyBorder="0" applyAlignment="0" applyProtection="0"/>
    <xf numFmtId="0" fontId="4" fillId="8" borderId="0" applyNumberFormat="0" applyBorder="0" applyAlignment="0" applyProtection="0"/>
    <xf numFmtId="0" fontId="27" fillId="11" borderId="0" applyNumberFormat="0" applyBorder="0" applyAlignment="0" applyProtection="0"/>
    <xf numFmtId="0" fontId="4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28" fillId="12" borderId="0" applyNumberFormat="0" applyBorder="0" applyAlignment="0" applyProtection="0"/>
    <xf numFmtId="0" fontId="10" fillId="12" borderId="0" applyNumberFormat="0" applyBorder="0" applyAlignment="0" applyProtection="0"/>
    <xf numFmtId="0" fontId="28" fillId="9" borderId="0" applyNumberFormat="0" applyBorder="0" applyAlignment="0" applyProtection="0"/>
    <xf numFmtId="0" fontId="10" fillId="9" borderId="0" applyNumberFormat="0" applyBorder="0" applyAlignment="0" applyProtection="0"/>
    <xf numFmtId="0" fontId="28" fillId="10" borderId="0" applyNumberFormat="0" applyBorder="0" applyAlignment="0" applyProtection="0"/>
    <xf numFmtId="0" fontId="10" fillId="10" borderId="0" applyNumberFormat="0" applyBorder="0" applyAlignment="0" applyProtection="0"/>
    <xf numFmtId="0" fontId="28" fillId="13" borderId="0" applyNumberFormat="0" applyBorder="0" applyAlignment="0" applyProtection="0"/>
    <xf numFmtId="0" fontId="10" fillId="13" borderId="0" applyNumberFormat="0" applyBorder="0" applyAlignment="0" applyProtection="0"/>
    <xf numFmtId="0" fontId="28" fillId="14" borderId="0" applyNumberFormat="0" applyBorder="0" applyAlignment="0" applyProtection="0"/>
    <xf numFmtId="0" fontId="10" fillId="14" borderId="0" applyNumberFormat="0" applyBorder="0" applyAlignment="0" applyProtection="0"/>
    <xf numFmtId="0" fontId="28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21" fillId="3" borderId="0" applyNumberFormat="0" applyBorder="0" applyAlignment="0" applyProtection="0"/>
    <xf numFmtId="0" fontId="13" fillId="20" borderId="1" applyNumberFormat="0" applyAlignment="0" applyProtection="0"/>
    <xf numFmtId="0" fontId="18" fillId="21" borderId="2" applyNumberFormat="0" applyAlignment="0" applyProtection="0"/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168" fontId="8" fillId="0" borderId="0" applyFont="0" applyFill="0" applyBorder="0" applyAlignment="0" applyProtection="0"/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0" fontId="22" fillId="0" borderId="0" applyNumberFormat="0" applyFill="0" applyBorder="0" applyAlignment="0" applyProtection="0"/>
    <xf numFmtId="171" fontId="30" fillId="0" borderId="0" applyAlignment="0">
      <alignment wrapText="1"/>
    </xf>
    <xf numFmtId="0" fontId="25" fillId="4" borderId="0" applyNumberFormat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11" fillId="7" borderId="1" applyNumberFormat="0" applyAlignment="0" applyProtection="0"/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</xf>
    <xf numFmtId="49" fontId="8" fillId="0" borderId="0" applyNumberFormat="0" applyFont="0" applyAlignment="0">
      <alignment vertical="top" wrapText="1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32" fillId="22" borderId="7">
      <alignment horizontal="left" vertical="center"/>
      <protection locked="0"/>
    </xf>
    <xf numFmtId="49" fontId="32" fillId="22" borderId="7">
      <alignment horizontal="left" vertical="center"/>
    </xf>
    <xf numFmtId="4" fontId="32" fillId="22" borderId="7">
      <alignment horizontal="right" vertical="center"/>
      <protection locked="0"/>
    </xf>
    <xf numFmtId="4" fontId="32" fillId="22" borderId="7">
      <alignment horizontal="right" vertical="center"/>
    </xf>
    <xf numFmtId="4" fontId="33" fillId="22" borderId="7">
      <alignment horizontal="righ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</xf>
    <xf numFmtId="4" fontId="36" fillId="22" borderId="3">
      <alignment horizontal="right" vertical="center"/>
      <protection locked="0"/>
    </xf>
    <xf numFmtId="49" fontId="29" fillId="22" borderId="3">
      <alignment horizontal="left" vertical="center"/>
      <protection locked="0"/>
    </xf>
    <xf numFmtId="49" fontId="29" fillId="22" borderId="3">
      <alignment horizontal="left" vertical="center"/>
      <protection locked="0"/>
    </xf>
    <xf numFmtId="49" fontId="29" fillId="22" borderId="3">
      <alignment horizontal="left" vertical="center"/>
    </xf>
    <xf numFmtId="49" fontId="29" fillId="22" borderId="3">
      <alignment horizontal="left" vertical="center"/>
    </xf>
    <xf numFmtId="49" fontId="33" fillId="22" borderId="3">
      <alignment horizontal="left" vertical="center"/>
      <protection locked="0"/>
    </xf>
    <xf numFmtId="49" fontId="33" fillId="22" borderId="3">
      <alignment horizontal="left" vertical="center"/>
    </xf>
    <xf numFmtId="4" fontId="29" fillId="22" borderId="3">
      <alignment horizontal="right" vertical="center"/>
      <protection locked="0"/>
    </xf>
    <xf numFmtId="4" fontId="29" fillId="22" borderId="3">
      <alignment horizontal="right" vertical="center"/>
      <protection locked="0"/>
    </xf>
    <xf numFmtId="4" fontId="29" fillId="22" borderId="3">
      <alignment horizontal="right" vertical="center"/>
    </xf>
    <xf numFmtId="4" fontId="29" fillId="22" borderId="3">
      <alignment horizontal="right" vertical="center"/>
    </xf>
    <xf numFmtId="4" fontId="33" fillId="22" borderId="3">
      <alignment horizontal="right" vertical="center"/>
      <protection locked="0"/>
    </xf>
    <xf numFmtId="49" fontId="37" fillId="22" borderId="3">
      <alignment horizontal="left" vertical="center"/>
      <protection locked="0"/>
    </xf>
    <xf numFmtId="49" fontId="37" fillId="22" borderId="3">
      <alignment horizontal="left" vertical="center"/>
    </xf>
    <xf numFmtId="49" fontId="38" fillId="22" borderId="3">
      <alignment horizontal="left" vertical="center"/>
      <protection locked="0"/>
    </xf>
    <xf numFmtId="49" fontId="38" fillId="22" borderId="3">
      <alignment horizontal="left" vertical="center"/>
    </xf>
    <xf numFmtId="4" fontId="37" fillId="22" borderId="3">
      <alignment horizontal="right" vertical="center"/>
      <protection locked="0"/>
    </xf>
    <xf numFmtId="4" fontId="37" fillId="22" borderId="3">
      <alignment horizontal="right" vertical="center"/>
    </xf>
    <xf numFmtId="4" fontId="39" fillId="22" borderId="3">
      <alignment horizontal="right" vertical="center"/>
      <protection locked="0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9" fontId="41" fillId="0" borderId="3">
      <alignment horizontal="left" vertical="center"/>
      <protection locked="0"/>
    </xf>
    <xf numFmtId="49" fontId="41" fillId="0" borderId="3">
      <alignment horizontal="left" vertical="center"/>
    </xf>
    <xf numFmtId="4" fontId="40" fillId="0" borderId="3">
      <alignment horizontal="right" vertical="center"/>
      <protection locked="0"/>
    </xf>
    <xf numFmtId="4" fontId="40" fillId="0" borderId="3">
      <alignment horizontal="right" vertical="center"/>
    </xf>
    <xf numFmtId="4" fontId="41" fillId="0" borderId="3">
      <alignment horizontal="right" vertical="center"/>
      <protection locked="0"/>
    </xf>
    <xf numFmtId="49" fontId="42" fillId="0" borderId="3">
      <alignment horizontal="left" vertical="center"/>
      <protection locked="0"/>
    </xf>
    <xf numFmtId="49" fontId="42" fillId="0" borderId="3">
      <alignment horizontal="left" vertical="center"/>
    </xf>
    <xf numFmtId="49" fontId="43" fillId="0" borderId="3">
      <alignment horizontal="left" vertical="center"/>
      <protection locked="0"/>
    </xf>
    <xf numFmtId="49" fontId="43" fillId="0" borderId="3">
      <alignment horizontal="left" vertical="center"/>
    </xf>
    <xf numFmtId="4" fontId="42" fillId="0" borderId="3">
      <alignment horizontal="right" vertical="center"/>
      <protection locked="0"/>
    </xf>
    <xf numFmtId="4" fontId="42" fillId="0" borderId="3">
      <alignment horizontal="right" vertical="center"/>
    </xf>
    <xf numFmtId="49" fontId="40" fillId="0" borderId="3">
      <alignment horizontal="left" vertical="center"/>
      <protection locked="0"/>
    </xf>
    <xf numFmtId="49" fontId="41" fillId="0" borderId="3">
      <alignment horizontal="left" vertical="center"/>
      <protection locked="0"/>
    </xf>
    <xf numFmtId="4" fontId="40" fillId="0" borderId="3">
      <alignment horizontal="right" vertical="center"/>
      <protection locked="0"/>
    </xf>
    <xf numFmtId="0" fontId="23" fillId="0" borderId="8" applyNumberFormat="0" applyFill="0" applyAlignment="0" applyProtection="0"/>
    <xf numFmtId="0" fontId="20" fillId="23" borderId="0" applyNumberFormat="0" applyBorder="0" applyAlignment="0" applyProtection="0"/>
    <xf numFmtId="0" fontId="8" fillId="0" borderId="0"/>
    <xf numFmtId="0" fontId="8" fillId="0" borderId="0"/>
    <xf numFmtId="0" fontId="8" fillId="24" borderId="0" applyNumberFormat="0" applyFill="0" applyAlignment="0">
      <alignment horizontal="center"/>
      <protection locked="0"/>
    </xf>
    <xf numFmtId="0" fontId="5" fillId="25" borderId="9" applyNumberFormat="0" applyFont="0" applyAlignment="0" applyProtection="0"/>
    <xf numFmtId="4" fontId="44" fillId="26" borderId="3">
      <alignment horizontal="right" vertical="center"/>
      <protection locked="0"/>
    </xf>
    <xf numFmtId="4" fontId="44" fillId="27" borderId="3">
      <alignment horizontal="right" vertical="center"/>
      <protection locked="0"/>
    </xf>
    <xf numFmtId="4" fontId="44" fillId="28" borderId="3">
      <alignment horizontal="right" vertical="center"/>
      <protection locked="0"/>
    </xf>
    <xf numFmtId="0" fontId="12" fillId="20" borderId="10" applyNumberFormat="0" applyAlignment="0" applyProtection="0"/>
    <xf numFmtId="49" fontId="29" fillId="0" borderId="3">
      <alignment horizontal="left" vertical="center" wrapText="1"/>
      <protection locked="0"/>
    </xf>
    <xf numFmtId="49" fontId="29" fillId="0" borderId="3">
      <alignment horizontal="left" vertical="center" wrapText="1"/>
      <protection locked="0"/>
    </xf>
    <xf numFmtId="0" fontId="19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8" fillId="16" borderId="0" applyNumberFormat="0" applyBorder="0" applyAlignment="0" applyProtection="0"/>
    <xf numFmtId="0" fontId="10" fillId="16" borderId="0" applyNumberFormat="0" applyBorder="0" applyAlignment="0" applyProtection="0"/>
    <xf numFmtId="0" fontId="28" fillId="17" borderId="0" applyNumberFormat="0" applyBorder="0" applyAlignment="0" applyProtection="0"/>
    <xf numFmtId="0" fontId="10" fillId="17" borderId="0" applyNumberFormat="0" applyBorder="0" applyAlignment="0" applyProtection="0"/>
    <xf numFmtId="0" fontId="28" fillId="18" borderId="0" applyNumberFormat="0" applyBorder="0" applyAlignment="0" applyProtection="0"/>
    <xf numFmtId="0" fontId="10" fillId="18" borderId="0" applyNumberFormat="0" applyBorder="0" applyAlignment="0" applyProtection="0"/>
    <xf numFmtId="0" fontId="28" fillId="13" borderId="0" applyNumberFormat="0" applyBorder="0" applyAlignment="0" applyProtection="0"/>
    <xf numFmtId="0" fontId="10" fillId="13" borderId="0" applyNumberFormat="0" applyBorder="0" applyAlignment="0" applyProtection="0"/>
    <xf numFmtId="0" fontId="28" fillId="14" borderId="0" applyNumberFormat="0" applyBorder="0" applyAlignment="0" applyProtection="0"/>
    <xf numFmtId="0" fontId="10" fillId="14" borderId="0" applyNumberFormat="0" applyBorder="0" applyAlignment="0" applyProtection="0"/>
    <xf numFmtId="0" fontId="28" fillId="19" borderId="0" applyNumberFormat="0" applyBorder="0" applyAlignment="0" applyProtection="0"/>
    <xf numFmtId="0" fontId="10" fillId="19" borderId="0" applyNumberFormat="0" applyBorder="0" applyAlignment="0" applyProtection="0"/>
    <xf numFmtId="0" fontId="45" fillId="7" borderId="1" applyNumberFormat="0" applyAlignment="0" applyProtection="0"/>
    <xf numFmtId="0" fontId="11" fillId="7" borderId="1" applyNumberFormat="0" applyAlignment="0" applyProtection="0"/>
    <xf numFmtId="0" fontId="46" fillId="20" borderId="10" applyNumberFormat="0" applyAlignment="0" applyProtection="0"/>
    <xf numFmtId="0" fontId="12" fillId="20" borderId="10" applyNumberFormat="0" applyAlignment="0" applyProtection="0"/>
    <xf numFmtId="0" fontId="47" fillId="20" borderId="1" applyNumberFormat="0" applyAlignment="0" applyProtection="0"/>
    <xf numFmtId="0" fontId="13" fillId="20" borderId="1" applyNumberFormat="0" applyAlignment="0" applyProtection="0"/>
    <xf numFmtId="172" fontId="8" fillId="0" borderId="0" applyFont="0" applyFill="0" applyBorder="0" applyAlignment="0" applyProtection="0"/>
    <xf numFmtId="0" fontId="48" fillId="0" borderId="4" applyNumberFormat="0" applyFill="0" applyAlignment="0" applyProtection="0"/>
    <xf numFmtId="0" fontId="14" fillId="0" borderId="4" applyNumberFormat="0" applyFill="0" applyAlignment="0" applyProtection="0"/>
    <xf numFmtId="0" fontId="49" fillId="0" borderId="5" applyNumberFormat="0" applyFill="0" applyAlignment="0" applyProtection="0"/>
    <xf numFmtId="0" fontId="15" fillId="0" borderId="5" applyNumberFormat="0" applyFill="0" applyAlignment="0" applyProtection="0"/>
    <xf numFmtId="0" fontId="50" fillId="0" borderId="6" applyNumberFormat="0" applyFill="0" applyAlignment="0" applyProtection="0"/>
    <xf numFmtId="0" fontId="16" fillId="0" borderId="6" applyNumberFormat="0" applyFill="0" applyAlignment="0" applyProtection="0"/>
    <xf numFmtId="0" fontId="5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11" applyNumberFormat="0" applyFill="0" applyAlignment="0" applyProtection="0"/>
    <xf numFmtId="0" fontId="17" fillId="0" borderId="11" applyNumberFormat="0" applyFill="0" applyAlignment="0" applyProtection="0"/>
    <xf numFmtId="0" fontId="52" fillId="21" borderId="2" applyNumberFormat="0" applyAlignment="0" applyProtection="0"/>
    <xf numFmtId="0" fontId="18" fillId="21" borderId="2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3" fillId="23" borderId="0" applyNumberFormat="0" applyBorder="0" applyAlignment="0" applyProtection="0"/>
    <xf numFmtId="0" fontId="20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4" fillId="0" borderId="0"/>
    <xf numFmtId="0" fontId="64" fillId="0" borderId="0"/>
    <xf numFmtId="0" fontId="8" fillId="0" borderId="0"/>
    <xf numFmtId="0" fontId="5" fillId="0" borderId="0"/>
    <xf numFmtId="0" fontId="8" fillId="0" borderId="0"/>
    <xf numFmtId="0" fontId="8" fillId="0" borderId="0" applyNumberFormat="0" applyFont="0" applyFill="0" applyBorder="0" applyAlignment="0" applyProtection="0">
      <alignment vertical="top"/>
    </xf>
    <xf numFmtId="0" fontId="8" fillId="0" borderId="0" applyNumberFormat="0" applyFont="0" applyFill="0" applyBorder="0" applyAlignment="0" applyProtection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4" fillId="3" borderId="0" applyNumberFormat="0" applyBorder="0" applyAlignment="0" applyProtection="0"/>
    <xf numFmtId="0" fontId="21" fillId="3" borderId="0" applyNumberFormat="0" applyBorder="0" applyAlignment="0" applyProtection="0"/>
    <xf numFmtId="0" fontId="5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6" fillId="25" borderId="9" applyNumberFormat="0" applyFont="0" applyAlignment="0" applyProtection="0"/>
    <xf numFmtId="0" fontId="8" fillId="25" borderId="9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7" fillId="0" borderId="8" applyNumberFormat="0" applyFill="0" applyAlignment="0" applyProtection="0"/>
    <xf numFmtId="0" fontId="23" fillId="0" borderId="8" applyNumberFormat="0" applyFill="0" applyAlignment="0" applyProtection="0"/>
    <xf numFmtId="0" fontId="26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73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61" fillId="4" borderId="0" applyNumberFormat="0" applyBorder="0" applyAlignment="0" applyProtection="0"/>
    <xf numFmtId="0" fontId="25" fillId="4" borderId="0" applyNumberFormat="0" applyBorder="0" applyAlignment="0" applyProtection="0"/>
    <xf numFmtId="176" fontId="62" fillId="22" borderId="12" applyFill="0" applyBorder="0">
      <alignment horizontal="center" vertical="center" wrapText="1"/>
      <protection locked="0"/>
    </xf>
    <xf numFmtId="171" fontId="63" fillId="0" borderId="0">
      <alignment wrapText="1"/>
    </xf>
    <xf numFmtId="171" fontId="30" fillId="0" borderId="0">
      <alignment wrapText="1"/>
    </xf>
    <xf numFmtId="0" fontId="8" fillId="0" borderId="0"/>
    <xf numFmtId="0" fontId="3" fillId="0" borderId="0"/>
    <xf numFmtId="0" fontId="86" fillId="0" borderId="0" applyNumberFormat="0" applyFill="0" applyBorder="0" applyAlignment="0" applyProtection="0"/>
    <xf numFmtId="0" fontId="2" fillId="0" borderId="0"/>
    <xf numFmtId="43" fontId="5" fillId="0" borderId="0" applyFont="0" applyFill="0" applyBorder="0" applyAlignment="0" applyProtection="0"/>
    <xf numFmtId="0" fontId="90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</cellStyleXfs>
  <cellXfs count="593">
    <xf numFmtId="0" fontId="0" fillId="0" borderId="0" xfId="0"/>
    <xf numFmtId="0" fontId="68" fillId="0" borderId="0" xfId="0" applyFont="1" applyFill="1" applyBorder="1" applyAlignment="1">
      <alignment vertical="center"/>
    </xf>
    <xf numFmtId="0" fontId="68" fillId="0" borderId="0" xfId="0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vertical="center"/>
    </xf>
    <xf numFmtId="170" fontId="68" fillId="0" borderId="0" xfId="0" applyNumberFormat="1" applyFont="1" applyFill="1" applyBorder="1" applyAlignment="1">
      <alignment horizontal="right" vertical="center" wrapText="1"/>
    </xf>
    <xf numFmtId="0" fontId="68" fillId="0" borderId="0" xfId="0" applyFont="1" applyFill="1" applyBorder="1" applyAlignment="1">
      <alignment horizontal="left" vertical="center" wrapText="1"/>
    </xf>
    <xf numFmtId="0" fontId="68" fillId="0" borderId="0" xfId="0" applyFont="1" applyFill="1" applyBorder="1" applyAlignment="1">
      <alignment vertical="center" wrapText="1"/>
    </xf>
    <xf numFmtId="0" fontId="68" fillId="0" borderId="3" xfId="0" applyFont="1" applyFill="1" applyBorder="1" applyAlignment="1">
      <alignment horizontal="center" vertical="center" wrapText="1"/>
    </xf>
    <xf numFmtId="178" fontId="66" fillId="0" borderId="3" xfId="0" applyNumberFormat="1" applyFont="1" applyFill="1" applyBorder="1" applyAlignment="1">
      <alignment horizontal="center" vertical="center" wrapText="1"/>
    </xf>
    <xf numFmtId="178" fontId="68" fillId="0" borderId="3" xfId="0" applyNumberFormat="1" applyFont="1" applyFill="1" applyBorder="1" applyAlignment="1">
      <alignment horizontal="center" vertical="center"/>
    </xf>
    <xf numFmtId="0" fontId="77" fillId="0" borderId="3" xfId="0" applyFont="1" applyFill="1" applyBorder="1" applyAlignment="1">
      <alignment horizontal="center" vertical="center"/>
    </xf>
    <xf numFmtId="0" fontId="77" fillId="0" borderId="3" xfId="0" applyFont="1" applyFill="1" applyBorder="1" applyAlignment="1">
      <alignment horizontal="left" vertical="center" wrapText="1"/>
    </xf>
    <xf numFmtId="178" fontId="68" fillId="0" borderId="3" xfId="0" applyNumberFormat="1" applyFont="1" applyFill="1" applyBorder="1" applyAlignment="1">
      <alignment horizontal="center" vertical="center" wrapText="1"/>
    </xf>
    <xf numFmtId="178" fontId="66" fillId="0" borderId="3" xfId="0" applyNumberFormat="1" applyFont="1" applyFill="1" applyBorder="1" applyAlignment="1">
      <alignment horizontal="center" vertical="center"/>
    </xf>
    <xf numFmtId="179" fontId="68" fillId="0" borderId="0" xfId="0" applyNumberFormat="1" applyFont="1" applyFill="1" applyBorder="1" applyAlignment="1">
      <alignment vertical="center"/>
    </xf>
    <xf numFmtId="0" fontId="77" fillId="0" borderId="3" xfId="0" applyFont="1" applyFill="1" applyBorder="1" applyAlignment="1">
      <alignment vertical="center" wrapText="1"/>
    </xf>
    <xf numFmtId="0" fontId="66" fillId="0" borderId="3" xfId="0" applyFont="1" applyFill="1" applyBorder="1" applyAlignment="1">
      <alignment vertical="center" wrapText="1"/>
    </xf>
    <xf numFmtId="0" fontId="68" fillId="0" borderId="3" xfId="0" applyFont="1" applyFill="1" applyBorder="1" applyAlignment="1">
      <alignment vertical="center"/>
    </xf>
    <xf numFmtId="0" fontId="77" fillId="0" borderId="3" xfId="0" applyFont="1" applyFill="1" applyBorder="1" applyAlignment="1">
      <alignment vertical="center"/>
    </xf>
    <xf numFmtId="0" fontId="66" fillId="0" borderId="3" xfId="0" quotePrefix="1" applyFont="1" applyFill="1" applyBorder="1" applyAlignment="1">
      <alignment horizontal="center" vertical="center"/>
    </xf>
    <xf numFmtId="179" fontId="66" fillId="0" borderId="0" xfId="0" applyNumberFormat="1" applyFont="1" applyFill="1" applyBorder="1" applyAlignment="1">
      <alignment vertical="center"/>
    </xf>
    <xf numFmtId="0" fontId="73" fillId="0" borderId="0" xfId="0" applyFont="1" applyFill="1" applyBorder="1" applyAlignment="1">
      <alignment horizontal="center" vertical="center" wrapText="1"/>
    </xf>
    <xf numFmtId="0" fontId="68" fillId="0" borderId="0" xfId="0" quotePrefix="1" applyFont="1" applyFill="1" applyBorder="1" applyAlignment="1">
      <alignment horizontal="center" vertical="center"/>
    </xf>
    <xf numFmtId="178" fontId="68" fillId="0" borderId="0" xfId="0" applyNumberFormat="1" applyFont="1" applyFill="1" applyBorder="1" applyAlignment="1">
      <alignment horizontal="center" vertical="center" wrapText="1"/>
    </xf>
    <xf numFmtId="170" fontId="66" fillId="0" borderId="0" xfId="0" applyNumberFormat="1" applyFont="1" applyFill="1" applyBorder="1" applyAlignment="1">
      <alignment vertical="center"/>
    </xf>
    <xf numFmtId="179" fontId="66" fillId="0" borderId="0" xfId="0" applyNumberFormat="1" applyFont="1" applyFill="1" applyBorder="1" applyAlignment="1">
      <alignment horizontal="center" vertical="center"/>
    </xf>
    <xf numFmtId="178" fontId="68" fillId="0" borderId="0" xfId="0" applyNumberFormat="1" applyFont="1" applyFill="1" applyBorder="1" applyAlignment="1">
      <alignment horizontal="center" vertical="center"/>
    </xf>
    <xf numFmtId="178" fontId="68" fillId="0" borderId="0" xfId="0" applyNumberFormat="1" applyFont="1" applyFill="1" applyBorder="1" applyAlignment="1">
      <alignment vertical="center"/>
    </xf>
    <xf numFmtId="0" fontId="67" fillId="0" borderId="3" xfId="0" applyFont="1" applyFill="1" applyBorder="1" applyAlignment="1">
      <alignment horizontal="left" vertical="center"/>
    </xf>
    <xf numFmtId="49" fontId="66" fillId="0" borderId="3" xfId="0" applyNumberFormat="1" applyFont="1" applyFill="1" applyBorder="1" applyAlignment="1">
      <alignment horizontal="center" vertical="center"/>
    </xf>
    <xf numFmtId="49" fontId="78" fillId="0" borderId="3" xfId="0" applyNumberFormat="1" applyFont="1" applyFill="1" applyBorder="1" applyAlignment="1">
      <alignment horizontal="center" vertical="center"/>
    </xf>
    <xf numFmtId="0" fontId="78" fillId="0" borderId="3" xfId="0" applyFont="1" applyFill="1" applyBorder="1" applyAlignment="1">
      <alignment horizontal="left" vertical="center" wrapText="1"/>
    </xf>
    <xf numFmtId="0" fontId="78" fillId="0" borderId="3" xfId="0" applyFont="1" applyFill="1" applyBorder="1" applyAlignment="1">
      <alignment horizontal="center" vertical="center" wrapText="1"/>
    </xf>
    <xf numFmtId="178" fontId="74" fillId="0" borderId="3" xfId="0" applyNumberFormat="1" applyFont="1" applyFill="1" applyBorder="1" applyAlignment="1">
      <alignment horizontal="center" vertical="center" wrapText="1"/>
    </xf>
    <xf numFmtId="178" fontId="74" fillId="0" borderId="3" xfId="0" applyNumberFormat="1" applyFont="1" applyFill="1" applyBorder="1" applyAlignment="1">
      <alignment horizontal="center" vertical="center"/>
    </xf>
    <xf numFmtId="0" fontId="77" fillId="0" borderId="3" xfId="0" applyFont="1" applyFill="1" applyBorder="1" applyAlignment="1">
      <alignment horizontal="center" vertical="center" wrapText="1"/>
    </xf>
    <xf numFmtId="49" fontId="77" fillId="0" borderId="3" xfId="0" applyNumberFormat="1" applyFont="1" applyFill="1" applyBorder="1" applyAlignment="1">
      <alignment horizontal="center" vertical="center"/>
    </xf>
    <xf numFmtId="178" fontId="67" fillId="0" borderId="3" xfId="0" applyNumberFormat="1" applyFont="1" applyFill="1" applyBorder="1" applyAlignment="1">
      <alignment horizontal="center" vertical="center" wrapText="1"/>
    </xf>
    <xf numFmtId="49" fontId="75" fillId="0" borderId="3" xfId="0" applyNumberFormat="1" applyFont="1" applyFill="1" applyBorder="1" applyAlignment="1">
      <alignment horizontal="center" vertical="center"/>
    </xf>
    <xf numFmtId="169" fontId="68" fillId="0" borderId="0" xfId="0" applyNumberFormat="1" applyFont="1" applyFill="1" applyBorder="1" applyAlignment="1">
      <alignment vertical="center"/>
    </xf>
    <xf numFmtId="178" fontId="80" fillId="0" borderId="3" xfId="0" applyNumberFormat="1" applyFont="1" applyFill="1" applyBorder="1" applyAlignment="1">
      <alignment horizontal="center" vertical="center"/>
    </xf>
    <xf numFmtId="0" fontId="75" fillId="0" borderId="3" xfId="0" applyFont="1" applyFill="1" applyBorder="1" applyAlignment="1">
      <alignment horizontal="left" vertical="center" wrapText="1"/>
    </xf>
    <xf numFmtId="0" fontId="78" fillId="0" borderId="3" xfId="0" applyFont="1" applyFill="1" applyBorder="1" applyAlignment="1">
      <alignment vertical="center" wrapText="1"/>
    </xf>
    <xf numFmtId="0" fontId="77" fillId="0" borderId="15" xfId="0" applyFont="1" applyFill="1" applyBorder="1" applyAlignment="1">
      <alignment vertical="center" wrapText="1"/>
    </xf>
    <xf numFmtId="0" fontId="75" fillId="0" borderId="3" xfId="0" applyFont="1" applyFill="1" applyBorder="1" applyAlignment="1">
      <alignment vertical="center" wrapText="1"/>
    </xf>
    <xf numFmtId="0" fontId="75" fillId="0" borderId="3" xfId="0" applyFont="1" applyFill="1" applyBorder="1" applyAlignment="1">
      <alignment horizontal="center" vertical="center" wrapText="1"/>
    </xf>
    <xf numFmtId="0" fontId="75" fillId="0" borderId="3" xfId="0" applyFont="1" applyFill="1" applyBorder="1" applyAlignment="1">
      <alignment horizontal="left" vertical="center"/>
    </xf>
    <xf numFmtId="0" fontId="76" fillId="0" borderId="3" xfId="0" applyFont="1" applyFill="1" applyBorder="1" applyAlignment="1">
      <alignment horizontal="left" vertical="center"/>
    </xf>
    <xf numFmtId="0" fontId="76" fillId="0" borderId="3" xfId="0" applyFont="1" applyFill="1" applyBorder="1" applyAlignment="1">
      <alignment horizontal="left" vertical="center" wrapText="1"/>
    </xf>
    <xf numFmtId="0" fontId="74" fillId="0" borderId="3" xfId="0" applyFont="1" applyFill="1" applyBorder="1" applyAlignment="1">
      <alignment vertical="center" wrapText="1"/>
    </xf>
    <xf numFmtId="0" fontId="74" fillId="0" borderId="3" xfId="0" applyFont="1" applyFill="1" applyBorder="1" applyAlignment="1">
      <alignment horizontal="center" vertical="center" wrapText="1"/>
    </xf>
    <xf numFmtId="0" fontId="78" fillId="0" borderId="3" xfId="0" applyFont="1" applyFill="1" applyBorder="1" applyAlignment="1">
      <alignment vertical="center"/>
    </xf>
    <xf numFmtId="0" fontId="74" fillId="0" borderId="3" xfId="0" applyFont="1" applyFill="1" applyBorder="1" applyAlignment="1">
      <alignment horizontal="left" vertical="center"/>
    </xf>
    <xf numFmtId="49" fontId="74" fillId="0" borderId="3" xfId="0" applyNumberFormat="1" applyFont="1" applyFill="1" applyBorder="1" applyAlignment="1">
      <alignment horizontal="center" vertical="center"/>
    </xf>
    <xf numFmtId="0" fontId="74" fillId="0" borderId="3" xfId="0" applyFont="1" applyFill="1" applyBorder="1" applyAlignment="1">
      <alignment horizontal="left" vertical="center" wrapText="1"/>
    </xf>
    <xf numFmtId="49" fontId="68" fillId="0" borderId="3" xfId="0" applyNumberFormat="1" applyFont="1" applyFill="1" applyBorder="1" applyAlignment="1">
      <alignment horizontal="center" vertical="center"/>
    </xf>
    <xf numFmtId="49" fontId="67" fillId="0" borderId="3" xfId="0" applyNumberFormat="1" applyFont="1" applyFill="1" applyBorder="1" applyAlignment="1">
      <alignment horizontal="center" vertical="center"/>
    </xf>
    <xf numFmtId="0" fontId="75" fillId="0" borderId="3" xfId="0" applyFont="1" applyFill="1" applyBorder="1" applyAlignment="1">
      <alignment vertical="center"/>
    </xf>
    <xf numFmtId="0" fontId="76" fillId="0" borderId="3" xfId="0" applyFont="1" applyFill="1" applyBorder="1" applyAlignment="1">
      <alignment vertical="center"/>
    </xf>
    <xf numFmtId="0" fontId="76" fillId="0" borderId="3" xfId="0" applyFont="1" applyFill="1" applyBorder="1" applyAlignment="1">
      <alignment horizontal="center" vertical="center" wrapText="1"/>
    </xf>
    <xf numFmtId="0" fontId="78" fillId="0" borderId="3" xfId="0" applyFont="1" applyFill="1" applyBorder="1" applyAlignment="1">
      <alignment horizontal="left" vertical="center"/>
    </xf>
    <xf numFmtId="0" fontId="68" fillId="0" borderId="3" xfId="0" applyFont="1" applyFill="1" applyBorder="1" applyAlignment="1">
      <alignment horizontal="left" vertical="center" wrapText="1"/>
    </xf>
    <xf numFmtId="170" fontId="68" fillId="0" borderId="3" xfId="0" applyNumberFormat="1" applyFont="1" applyFill="1" applyBorder="1" applyAlignment="1">
      <alignment horizontal="right" vertical="center" wrapText="1"/>
    </xf>
    <xf numFmtId="0" fontId="73" fillId="0" borderId="0" xfId="0" applyFont="1" applyFill="1" applyBorder="1" applyAlignment="1">
      <alignment horizontal="center" wrapText="1"/>
    </xf>
    <xf numFmtId="0" fontId="66" fillId="0" borderId="0" xfId="0" applyFont="1" applyFill="1" applyBorder="1" applyAlignment="1">
      <alignment horizontal="center" vertical="center"/>
    </xf>
    <xf numFmtId="178" fontId="68" fillId="0" borderId="3" xfId="0" applyNumberFormat="1" applyFont="1" applyFill="1" applyBorder="1" applyAlignment="1">
      <alignment vertical="center"/>
    </xf>
    <xf numFmtId="180" fontId="68" fillId="0" borderId="0" xfId="0" applyNumberFormat="1" applyFont="1" applyFill="1" applyBorder="1" applyAlignment="1">
      <alignment vertical="center"/>
    </xf>
    <xf numFmtId="0" fontId="25" fillId="0" borderId="0" xfId="349" applyFill="1" applyBorder="1" applyAlignment="1">
      <alignment vertical="center"/>
    </xf>
    <xf numFmtId="0" fontId="74" fillId="0" borderId="0" xfId="0" applyFont="1" applyFill="1" applyBorder="1" applyAlignment="1">
      <alignment vertical="center"/>
    </xf>
    <xf numFmtId="180" fontId="66" fillId="0" borderId="0" xfId="0" applyNumberFormat="1" applyFont="1" applyFill="1" applyBorder="1" applyAlignment="1">
      <alignment vertical="center"/>
    </xf>
    <xf numFmtId="0" fontId="74" fillId="0" borderId="0" xfId="0" applyFont="1" applyFill="1" applyBorder="1" applyAlignment="1">
      <alignment horizontal="center" vertical="center"/>
    </xf>
    <xf numFmtId="0" fontId="66" fillId="0" borderId="0" xfId="0" applyNumberFormat="1" applyFont="1" applyFill="1" applyBorder="1" applyAlignment="1">
      <alignment vertical="center"/>
    </xf>
    <xf numFmtId="0" fontId="74" fillId="0" borderId="0" xfId="0" applyNumberFormat="1" applyFont="1" applyFill="1" applyBorder="1" applyAlignment="1">
      <alignment vertical="center"/>
    </xf>
    <xf numFmtId="178" fontId="69" fillId="0" borderId="3" xfId="0" applyNumberFormat="1" applyFont="1" applyFill="1" applyBorder="1" applyAlignment="1">
      <alignment horizontal="center" vertical="center" wrapText="1"/>
    </xf>
    <xf numFmtId="170" fontId="68" fillId="0" borderId="0" xfId="0" applyNumberFormat="1" applyFont="1" applyFill="1" applyBorder="1" applyAlignment="1">
      <alignment horizontal="center" vertical="center" wrapText="1"/>
    </xf>
    <xf numFmtId="0" fontId="65" fillId="0" borderId="0" xfId="0" applyFont="1" applyFill="1" applyBorder="1" applyAlignment="1">
      <alignment vertical="center"/>
    </xf>
    <xf numFmtId="0" fontId="77" fillId="0" borderId="13" xfId="0" applyFont="1" applyFill="1" applyBorder="1" applyAlignment="1">
      <alignment horizontal="center" vertical="center"/>
    </xf>
    <xf numFmtId="0" fontId="77" fillId="0" borderId="0" xfId="0" applyFont="1" applyFill="1" applyBorder="1" applyAlignment="1">
      <alignment vertical="center"/>
    </xf>
    <xf numFmtId="179" fontId="79" fillId="0" borderId="0" xfId="0" applyNumberFormat="1" applyFont="1" applyFill="1" applyBorder="1" applyAlignment="1">
      <alignment vertical="center"/>
    </xf>
    <xf numFmtId="0" fontId="77" fillId="0" borderId="15" xfId="0" applyFont="1" applyFill="1" applyBorder="1" applyAlignment="1">
      <alignment horizontal="left" vertical="center" wrapText="1"/>
    </xf>
    <xf numFmtId="178" fontId="68" fillId="0" borderId="3" xfId="0" applyNumberFormat="1" applyFont="1" applyFill="1" applyBorder="1" applyAlignment="1">
      <alignment vertical="center" wrapText="1"/>
    </xf>
    <xf numFmtId="178" fontId="75" fillId="0" borderId="3" xfId="0" applyNumberFormat="1" applyFont="1" applyFill="1" applyBorder="1" applyAlignment="1">
      <alignment horizontal="center" vertical="center" wrapText="1"/>
    </xf>
    <xf numFmtId="178" fontId="68" fillId="29" borderId="3" xfId="0" applyNumberFormat="1" applyFont="1" applyFill="1" applyBorder="1" applyAlignment="1">
      <alignment horizontal="center" vertical="center" wrapText="1"/>
    </xf>
    <xf numFmtId="178" fontId="67" fillId="29" borderId="3" xfId="0" applyNumberFormat="1" applyFont="1" applyFill="1" applyBorder="1" applyAlignment="1">
      <alignment horizontal="center" vertical="center" wrapText="1"/>
    </xf>
    <xf numFmtId="179" fontId="68" fillId="0" borderId="0" xfId="0" applyNumberFormat="1" applyFont="1" applyFill="1" applyBorder="1" applyAlignment="1">
      <alignment horizontal="center" vertical="center"/>
    </xf>
    <xf numFmtId="0" fontId="66" fillId="0" borderId="3" xfId="0" applyFont="1" applyFill="1" applyBorder="1" applyAlignment="1">
      <alignment horizontal="left" vertical="center"/>
    </xf>
    <xf numFmtId="0" fontId="66" fillId="0" borderId="3" xfId="0" applyFont="1" applyFill="1" applyBorder="1" applyAlignment="1">
      <alignment horizontal="left" vertical="center" wrapText="1"/>
    </xf>
    <xf numFmtId="0" fontId="68" fillId="0" borderId="0" xfId="0" applyFont="1" applyFill="1" applyBorder="1" applyAlignment="1">
      <alignment horizontal="center" vertical="center"/>
    </xf>
    <xf numFmtId="0" fontId="66" fillId="0" borderId="3" xfId="0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center" vertical="center" wrapText="1"/>
    </xf>
    <xf numFmtId="178" fontId="79" fillId="0" borderId="3" xfId="0" applyNumberFormat="1" applyFont="1" applyFill="1" applyBorder="1" applyAlignment="1">
      <alignment horizontal="center" vertical="center" wrapText="1"/>
    </xf>
    <xf numFmtId="0" fontId="66" fillId="30" borderId="3" xfId="0" applyFont="1" applyFill="1" applyBorder="1" applyAlignment="1">
      <alignment horizontal="center" vertical="center" wrapText="1"/>
    </xf>
    <xf numFmtId="0" fontId="66" fillId="30" borderId="3" xfId="0" applyFont="1" applyFill="1" applyBorder="1" applyAlignment="1">
      <alignment vertical="center" wrapText="1"/>
    </xf>
    <xf numFmtId="178" fontId="66" fillId="30" borderId="3" xfId="0" applyNumberFormat="1" applyFont="1" applyFill="1" applyBorder="1" applyAlignment="1">
      <alignment horizontal="center" vertical="center" wrapText="1"/>
    </xf>
    <xf numFmtId="178" fontId="66" fillId="30" borderId="3" xfId="0" applyNumberFormat="1" applyFont="1" applyFill="1" applyBorder="1" applyAlignment="1">
      <alignment horizontal="center" vertical="center"/>
    </xf>
    <xf numFmtId="179" fontId="68" fillId="30" borderId="0" xfId="0" applyNumberFormat="1" applyFont="1" applyFill="1" applyBorder="1" applyAlignment="1">
      <alignment vertical="center"/>
    </xf>
    <xf numFmtId="179" fontId="66" fillId="30" borderId="0" xfId="0" applyNumberFormat="1" applyFont="1" applyFill="1" applyBorder="1" applyAlignment="1">
      <alignment vertical="center"/>
    </xf>
    <xf numFmtId="178" fontId="68" fillId="30" borderId="0" xfId="0" applyNumberFormat="1" applyFont="1" applyFill="1" applyBorder="1" applyAlignment="1">
      <alignment horizontal="center" vertical="center"/>
    </xf>
    <xf numFmtId="178" fontId="68" fillId="30" borderId="0" xfId="0" applyNumberFormat="1" applyFont="1" applyFill="1" applyBorder="1" applyAlignment="1">
      <alignment vertical="center"/>
    </xf>
    <xf numFmtId="0" fontId="68" fillId="30" borderId="0" xfId="0" applyFont="1" applyFill="1" applyBorder="1" applyAlignment="1">
      <alignment vertical="center"/>
    </xf>
    <xf numFmtId="49" fontId="75" fillId="30" borderId="3" xfId="0" applyNumberFormat="1" applyFont="1" applyFill="1" applyBorder="1" applyAlignment="1">
      <alignment horizontal="center" vertical="center"/>
    </xf>
    <xf numFmtId="0" fontId="75" fillId="30" borderId="3" xfId="0" applyFont="1" applyFill="1" applyBorder="1" applyAlignment="1">
      <alignment horizontal="left" vertical="center" wrapText="1"/>
    </xf>
    <xf numFmtId="0" fontId="75" fillId="30" borderId="3" xfId="0" applyFont="1" applyFill="1" applyBorder="1" applyAlignment="1">
      <alignment horizontal="center" vertical="center"/>
    </xf>
    <xf numFmtId="0" fontId="66" fillId="30" borderId="0" xfId="0" applyNumberFormat="1" applyFont="1" applyFill="1" applyBorder="1" applyAlignment="1">
      <alignment vertical="center"/>
    </xf>
    <xf numFmtId="0" fontId="66" fillId="30" borderId="0" xfId="0" applyFont="1" applyFill="1" applyBorder="1" applyAlignment="1">
      <alignment vertical="center"/>
    </xf>
    <xf numFmtId="0" fontId="68" fillId="30" borderId="0" xfId="0" applyFont="1" applyFill="1" applyBorder="1" applyAlignment="1">
      <alignment horizontal="center" vertical="center"/>
    </xf>
    <xf numFmtId="0" fontId="75" fillId="30" borderId="3" xfId="0" applyFont="1" applyFill="1" applyBorder="1" applyAlignment="1">
      <alignment horizontal="center" vertical="center" wrapText="1"/>
    </xf>
    <xf numFmtId="49" fontId="66" fillId="30" borderId="3" xfId="0" applyNumberFormat="1" applyFont="1" applyFill="1" applyBorder="1" applyAlignment="1">
      <alignment horizontal="center" vertical="center"/>
    </xf>
    <xf numFmtId="0" fontId="75" fillId="30" borderId="3" xfId="0" applyFont="1" applyFill="1" applyBorder="1" applyAlignment="1">
      <alignment vertical="center"/>
    </xf>
    <xf numFmtId="0" fontId="75" fillId="30" borderId="3" xfId="0" applyFont="1" applyFill="1" applyBorder="1" applyAlignment="1">
      <alignment vertical="center" wrapText="1"/>
    </xf>
    <xf numFmtId="0" fontId="66" fillId="30" borderId="3" xfId="0" applyFont="1" applyFill="1" applyBorder="1" applyAlignment="1">
      <alignment horizontal="left" vertical="center"/>
    </xf>
    <xf numFmtId="0" fontId="66" fillId="30" borderId="3" xfId="0" applyFont="1" applyFill="1" applyBorder="1" applyAlignment="1">
      <alignment horizontal="center" vertical="center"/>
    </xf>
    <xf numFmtId="0" fontId="66" fillId="30" borderId="3" xfId="0" applyFont="1" applyFill="1" applyBorder="1" applyAlignment="1">
      <alignment horizontal="left" vertical="center" wrapText="1"/>
    </xf>
    <xf numFmtId="0" fontId="68" fillId="0" borderId="0" xfId="0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center" wrapText="1"/>
    </xf>
    <xf numFmtId="0" fontId="65" fillId="0" borderId="0" xfId="0" applyFont="1" applyFill="1" applyAlignment="1">
      <alignment horizontal="center" vertical="center"/>
    </xf>
    <xf numFmtId="178" fontId="74" fillId="29" borderId="3" xfId="0" applyNumberFormat="1" applyFont="1" applyFill="1" applyBorder="1" applyAlignment="1">
      <alignment horizontal="center" vertical="center" wrapText="1"/>
    </xf>
    <xf numFmtId="0" fontId="71" fillId="0" borderId="0" xfId="0" applyFont="1" applyFill="1" applyAlignment="1">
      <alignment horizontal="center" vertical="center"/>
    </xf>
    <xf numFmtId="0" fontId="65" fillId="0" borderId="3" xfId="0" applyFont="1" applyFill="1" applyBorder="1" applyAlignment="1">
      <alignment horizontal="center" vertical="center" wrapText="1" shrinkToFit="1"/>
    </xf>
    <xf numFmtId="0" fontId="69" fillId="0" borderId="3" xfId="182" applyFont="1" applyFill="1" applyBorder="1" applyAlignment="1">
      <alignment vertical="center" wrapText="1"/>
      <protection locked="0"/>
    </xf>
    <xf numFmtId="0" fontId="69" fillId="0" borderId="3" xfId="0" applyFont="1" applyFill="1" applyBorder="1" applyAlignment="1">
      <alignment horizontal="center" vertical="center"/>
    </xf>
    <xf numFmtId="169" fontId="65" fillId="0" borderId="0" xfId="0" applyNumberFormat="1" applyFont="1" applyFill="1" applyBorder="1" applyAlignment="1">
      <alignment vertical="center"/>
    </xf>
    <xf numFmtId="0" fontId="65" fillId="0" borderId="3" xfId="0" applyFont="1" applyFill="1" applyBorder="1" applyAlignment="1">
      <alignment horizontal="left" vertical="center" wrapText="1"/>
    </xf>
    <xf numFmtId="178" fontId="65" fillId="0" borderId="3" xfId="0" applyNumberFormat="1" applyFont="1" applyFill="1" applyBorder="1" applyAlignment="1">
      <alignment horizontal="center" vertical="center" wrapText="1"/>
    </xf>
    <xf numFmtId="178" fontId="82" fillId="0" borderId="3" xfId="0" applyNumberFormat="1" applyFont="1" applyFill="1" applyBorder="1" applyAlignment="1">
      <alignment horizontal="center" vertical="center" wrapText="1"/>
    </xf>
    <xf numFmtId="0" fontId="65" fillId="0" borderId="3" xfId="182" applyFont="1" applyFill="1" applyBorder="1" applyAlignment="1">
      <alignment vertical="center" wrapText="1"/>
      <protection locked="0"/>
    </xf>
    <xf numFmtId="178" fontId="83" fillId="0" borderId="3" xfId="0" applyNumberFormat="1" applyFont="1" applyFill="1" applyBorder="1" applyAlignment="1">
      <alignment horizontal="center" vertical="center" wrapText="1"/>
    </xf>
    <xf numFmtId="179" fontId="65" fillId="0" borderId="0" xfId="0" applyNumberFormat="1" applyFont="1" applyFill="1" applyBorder="1" applyAlignment="1">
      <alignment vertical="center"/>
    </xf>
    <xf numFmtId="170" fontId="65" fillId="0" borderId="3" xfId="0" applyNumberFormat="1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left" vertical="center" wrapText="1"/>
    </xf>
    <xf numFmtId="170" fontId="69" fillId="0" borderId="3" xfId="0" applyNumberFormat="1" applyFont="1" applyFill="1" applyBorder="1" applyAlignment="1">
      <alignment horizontal="center" vertical="center" wrapText="1"/>
    </xf>
    <xf numFmtId="0" fontId="69" fillId="0" borderId="3" xfId="245" applyFont="1" applyFill="1" applyBorder="1" applyAlignment="1">
      <alignment horizontal="left" vertical="center" wrapText="1"/>
    </xf>
    <xf numFmtId="0" fontId="65" fillId="0" borderId="3" xfId="245" applyFont="1" applyFill="1" applyBorder="1" applyAlignment="1">
      <alignment horizontal="left" vertical="center" wrapText="1"/>
    </xf>
    <xf numFmtId="0" fontId="69" fillId="0" borderId="3" xfId="0" applyFont="1" applyFill="1" applyBorder="1" applyAlignment="1" applyProtection="1">
      <alignment horizontal="left" vertical="center" wrapText="1"/>
      <protection locked="0"/>
    </xf>
    <xf numFmtId="49" fontId="69" fillId="0" borderId="3" xfId="0" applyNumberFormat="1" applyFont="1" applyFill="1" applyBorder="1" applyAlignment="1">
      <alignment horizontal="center" vertical="center"/>
    </xf>
    <xf numFmtId="177" fontId="69" fillId="0" borderId="3" xfId="0" applyNumberFormat="1" applyFont="1" applyFill="1" applyBorder="1" applyAlignment="1">
      <alignment horizontal="right" vertical="center" wrapText="1"/>
    </xf>
    <xf numFmtId="177" fontId="69" fillId="0" borderId="3" xfId="0" applyNumberFormat="1" applyFont="1" applyFill="1" applyBorder="1" applyAlignment="1">
      <alignment horizontal="center" vertical="center" wrapText="1"/>
    </xf>
    <xf numFmtId="177" fontId="65" fillId="0" borderId="0" xfId="0" applyNumberFormat="1" applyFont="1" applyFill="1" applyBorder="1" applyAlignment="1">
      <alignment horizontal="center" vertical="center"/>
    </xf>
    <xf numFmtId="177" fontId="65" fillId="0" borderId="3" xfId="0" applyNumberFormat="1" applyFont="1" applyFill="1" applyBorder="1" applyAlignment="1">
      <alignment horizontal="right" vertical="center" wrapText="1"/>
    </xf>
    <xf numFmtId="177" fontId="65" fillId="0" borderId="3" xfId="0" applyNumberFormat="1" applyFont="1" applyFill="1" applyBorder="1" applyAlignment="1">
      <alignment horizontal="center" vertical="center" wrapText="1"/>
    </xf>
    <xf numFmtId="177" fontId="65" fillId="0" borderId="0" xfId="0" applyNumberFormat="1" applyFont="1" applyFill="1" applyBorder="1" applyAlignment="1">
      <alignment vertical="center"/>
    </xf>
    <xf numFmtId="0" fontId="84" fillId="0" borderId="0" xfId="0" applyFont="1" applyFill="1" applyBorder="1" applyAlignment="1" applyProtection="1">
      <alignment horizontal="left" vertical="center" wrapText="1"/>
      <protection locked="0"/>
    </xf>
    <xf numFmtId="49" fontId="84" fillId="0" borderId="0" xfId="0" applyNumberFormat="1" applyFont="1" applyFill="1" applyBorder="1" applyAlignment="1">
      <alignment horizontal="center" vertical="center"/>
    </xf>
    <xf numFmtId="177" fontId="84" fillId="0" borderId="0" xfId="0" applyNumberFormat="1" applyFont="1" applyFill="1" applyBorder="1" applyAlignment="1">
      <alignment horizontal="center" vertical="center" wrapText="1"/>
    </xf>
    <xf numFmtId="178" fontId="69" fillId="0" borderId="3" xfId="0" applyNumberFormat="1" applyFont="1" applyFill="1" applyBorder="1" applyAlignment="1">
      <alignment horizontal="right" vertical="center" wrapText="1"/>
    </xf>
    <xf numFmtId="0" fontId="85" fillId="0" borderId="0" xfId="182" applyFont="1" applyFill="1" applyBorder="1" applyAlignment="1">
      <alignment vertical="center" wrapText="1"/>
      <protection locked="0"/>
    </xf>
    <xf numFmtId="0" fontId="85" fillId="0" borderId="0" xfId="0" applyFont="1" applyFill="1" applyBorder="1" applyAlignment="1">
      <alignment horizontal="center" vertical="center"/>
    </xf>
    <xf numFmtId="177" fontId="85" fillId="0" borderId="0" xfId="0" applyNumberFormat="1" applyFont="1" applyFill="1" applyBorder="1" applyAlignment="1">
      <alignment horizontal="center" vertical="center" wrapText="1"/>
    </xf>
    <xf numFmtId="178" fontId="65" fillId="0" borderId="3" xfId="0" applyNumberFormat="1" applyFont="1" applyFill="1" applyBorder="1" applyAlignment="1">
      <alignment horizontal="right" vertical="center" wrapText="1"/>
    </xf>
    <xf numFmtId="170" fontId="65" fillId="0" borderId="3" xfId="0" applyNumberFormat="1" applyFont="1" applyFill="1" applyBorder="1" applyAlignment="1">
      <alignment horizontal="right" vertical="center" wrapText="1"/>
    </xf>
    <xf numFmtId="0" fontId="84" fillId="0" borderId="0" xfId="182" applyFont="1" applyFill="1" applyBorder="1" applyAlignment="1">
      <alignment vertical="center" wrapText="1"/>
      <protection locked="0"/>
    </xf>
    <xf numFmtId="0" fontId="84" fillId="0" borderId="0" xfId="0" applyFont="1" applyFill="1" applyBorder="1" applyAlignment="1">
      <alignment horizontal="center" vertical="center"/>
    </xf>
    <xf numFmtId="178" fontId="84" fillId="0" borderId="0" xfId="0" applyNumberFormat="1" applyFont="1" applyFill="1" applyBorder="1" applyAlignment="1">
      <alignment horizontal="center" vertical="center" wrapText="1"/>
    </xf>
    <xf numFmtId="178" fontId="85" fillId="0" borderId="0" xfId="0" applyNumberFormat="1" applyFont="1" applyFill="1" applyBorder="1" applyAlignment="1">
      <alignment horizontal="center" vertical="center" wrapText="1"/>
    </xf>
    <xf numFmtId="0" fontId="69" fillId="0" borderId="0" xfId="0" applyFont="1" applyFill="1" applyBorder="1" applyAlignment="1" applyProtection="1">
      <alignment horizontal="left" vertical="center"/>
      <protection locked="0"/>
    </xf>
    <xf numFmtId="170" fontId="69" fillId="0" borderId="0" xfId="0" applyNumberFormat="1" applyFont="1" applyFill="1" applyBorder="1" applyAlignment="1">
      <alignment horizontal="center" vertical="center" wrapText="1"/>
    </xf>
    <xf numFmtId="170" fontId="69" fillId="0" borderId="0" xfId="0" applyNumberFormat="1" applyFont="1" applyFill="1" applyBorder="1" applyAlignment="1">
      <alignment horizontal="right" vertical="center" wrapText="1"/>
    </xf>
    <xf numFmtId="170" fontId="65" fillId="0" borderId="0" xfId="0" applyNumberFormat="1" applyFont="1" applyFill="1" applyBorder="1" applyAlignment="1">
      <alignment horizontal="center" vertical="center" wrapText="1"/>
    </xf>
    <xf numFmtId="0" fontId="65" fillId="0" borderId="0" xfId="0" quotePrefix="1" applyFont="1" applyFill="1" applyBorder="1" applyAlignment="1">
      <alignment horizontal="center" vertical="center"/>
    </xf>
    <xf numFmtId="170" fontId="71" fillId="0" borderId="0" xfId="0" applyNumberFormat="1" applyFont="1" applyFill="1" applyBorder="1" applyAlignment="1">
      <alignment vertical="center"/>
    </xf>
    <xf numFmtId="0" fontId="65" fillId="0" borderId="0" xfId="0" applyFont="1" applyFill="1" applyBorder="1" applyAlignment="1">
      <alignment vertical="center" wrapText="1"/>
    </xf>
    <xf numFmtId="0" fontId="68" fillId="0" borderId="0" xfId="0" applyFont="1" applyFill="1" applyBorder="1" applyAlignment="1">
      <alignment horizontal="center" vertical="center"/>
    </xf>
    <xf numFmtId="178" fontId="77" fillId="0" borderId="3" xfId="0" applyNumberFormat="1" applyFont="1" applyFill="1" applyBorder="1" applyAlignment="1">
      <alignment vertical="center"/>
    </xf>
    <xf numFmtId="179" fontId="74" fillId="0" borderId="0" xfId="0" applyNumberFormat="1" applyFont="1" applyFill="1" applyBorder="1" applyAlignment="1">
      <alignment vertical="center"/>
    </xf>
    <xf numFmtId="178" fontId="75" fillId="0" borderId="3" xfId="0" applyNumberFormat="1" applyFont="1" applyFill="1" applyBorder="1" applyAlignment="1">
      <alignment vertical="center"/>
    </xf>
    <xf numFmtId="178" fontId="77" fillId="0" borderId="3" xfId="0" applyNumberFormat="1" applyFont="1" applyFill="1" applyBorder="1" applyAlignment="1">
      <alignment horizontal="center" vertical="center" wrapText="1"/>
    </xf>
    <xf numFmtId="178" fontId="66" fillId="29" borderId="3" xfId="0" applyNumberFormat="1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center" vertical="center"/>
    </xf>
    <xf numFmtId="169" fontId="65" fillId="0" borderId="0" xfId="0" applyNumberFormat="1" applyFont="1" applyFill="1" applyBorder="1" applyAlignment="1">
      <alignment horizontal="center" vertical="center"/>
    </xf>
    <xf numFmtId="169" fontId="73" fillId="0" borderId="0" xfId="0" applyNumberFormat="1" applyFont="1" applyFill="1" applyBorder="1" applyAlignment="1">
      <alignment vertical="center"/>
    </xf>
    <xf numFmtId="0" fontId="68" fillId="0" borderId="0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/>
    </xf>
    <xf numFmtId="0" fontId="66" fillId="29" borderId="0" xfId="0" applyFont="1" applyFill="1" applyBorder="1" applyAlignment="1">
      <alignment horizontal="center" vertical="center" wrapText="1"/>
    </xf>
    <xf numFmtId="0" fontId="68" fillId="29" borderId="3" xfId="0" applyFont="1" applyFill="1" applyBorder="1" applyAlignment="1">
      <alignment horizontal="center" vertical="center" wrapText="1"/>
    </xf>
    <xf numFmtId="179" fontId="66" fillId="29" borderId="3" xfId="0" applyNumberFormat="1" applyFont="1" applyFill="1" applyBorder="1" applyAlignment="1">
      <alignment horizontal="center" vertical="center" wrapText="1"/>
    </xf>
    <xf numFmtId="170" fontId="68" fillId="29" borderId="3" xfId="0" applyNumberFormat="1" applyFont="1" applyFill="1" applyBorder="1" applyAlignment="1">
      <alignment horizontal="right" vertical="center" wrapText="1"/>
    </xf>
    <xf numFmtId="170" fontId="68" fillId="29" borderId="0" xfId="0" applyNumberFormat="1" applyFont="1" applyFill="1" applyBorder="1" applyAlignment="1">
      <alignment horizontal="right" vertical="center" wrapText="1"/>
    </xf>
    <xf numFmtId="0" fontId="68" fillId="29" borderId="0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/>
    </xf>
    <xf numFmtId="0" fontId="66" fillId="0" borderId="3" xfId="0" applyFont="1" applyFill="1" applyBorder="1" applyAlignment="1">
      <alignment horizontal="center" vertical="center" wrapText="1"/>
    </xf>
    <xf numFmtId="0" fontId="66" fillId="0" borderId="3" xfId="0" applyFont="1" applyFill="1" applyBorder="1" applyAlignment="1">
      <alignment horizontal="left" vertical="center"/>
    </xf>
    <xf numFmtId="178" fontId="74" fillId="30" borderId="3" xfId="0" applyNumberFormat="1" applyFont="1" applyFill="1" applyBorder="1" applyAlignment="1">
      <alignment horizontal="center" vertical="center"/>
    </xf>
    <xf numFmtId="0" fontId="66" fillId="30" borderId="0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/>
    </xf>
    <xf numFmtId="0" fontId="66" fillId="29" borderId="0" xfId="0" applyFont="1" applyFill="1" applyBorder="1" applyAlignment="1">
      <alignment vertical="center"/>
    </xf>
    <xf numFmtId="0" fontId="68" fillId="0" borderId="0" xfId="0" applyFont="1" applyFill="1" applyBorder="1" applyAlignment="1">
      <alignment horizontal="center" vertical="center"/>
    </xf>
    <xf numFmtId="4" fontId="2" fillId="31" borderId="0" xfId="356" applyNumberFormat="1" applyFill="1"/>
    <xf numFmtId="0" fontId="68" fillId="0" borderId="0" xfId="0" applyFont="1" applyFill="1" applyBorder="1" applyAlignment="1">
      <alignment horizontal="center" vertical="center"/>
    </xf>
    <xf numFmtId="0" fontId="66" fillId="29" borderId="3" xfId="0" applyFont="1" applyFill="1" applyBorder="1" applyAlignment="1">
      <alignment horizontal="center" vertical="center" wrapText="1"/>
    </xf>
    <xf numFmtId="178" fontId="66" fillId="29" borderId="3" xfId="0" applyNumberFormat="1" applyFont="1" applyFill="1" applyBorder="1" applyAlignment="1">
      <alignment horizontal="center" vertical="center"/>
    </xf>
    <xf numFmtId="179" fontId="68" fillId="29" borderId="0" xfId="0" applyNumberFormat="1" applyFont="1" applyFill="1" applyBorder="1" applyAlignment="1">
      <alignment vertical="center"/>
    </xf>
    <xf numFmtId="179" fontId="66" fillId="29" borderId="0" xfId="0" applyNumberFormat="1" applyFont="1" applyFill="1" applyBorder="1" applyAlignment="1">
      <alignment vertical="center"/>
    </xf>
    <xf numFmtId="0" fontId="68" fillId="29" borderId="0" xfId="0" applyFont="1" applyFill="1" applyBorder="1" applyAlignment="1">
      <alignment vertical="center"/>
    </xf>
    <xf numFmtId="178" fontId="66" fillId="29" borderId="0" xfId="0" applyNumberFormat="1" applyFont="1" applyFill="1" applyBorder="1" applyAlignment="1">
      <alignment horizontal="center" vertical="center"/>
    </xf>
    <xf numFmtId="178" fontId="77" fillId="29" borderId="3" xfId="0" applyNumberFormat="1" applyFont="1" applyFill="1" applyBorder="1" applyAlignment="1">
      <alignment horizontal="center" vertical="center" wrapText="1"/>
    </xf>
    <xf numFmtId="0" fontId="68" fillId="0" borderId="0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/>
    </xf>
    <xf numFmtId="178" fontId="88" fillId="29" borderId="3" xfId="0" applyNumberFormat="1" applyFont="1" applyFill="1" applyBorder="1" applyAlignment="1">
      <alignment horizontal="center" vertical="center" wrapText="1"/>
    </xf>
    <xf numFmtId="0" fontId="75" fillId="0" borderId="0" xfId="0" applyFont="1" applyFill="1" applyBorder="1" applyAlignment="1">
      <alignment horizontal="center" vertical="center" wrapText="1"/>
    </xf>
    <xf numFmtId="0" fontId="77" fillId="0" borderId="0" xfId="0" applyFont="1" applyFill="1" applyBorder="1" applyAlignment="1">
      <alignment horizontal="center" vertical="center" wrapText="1"/>
    </xf>
    <xf numFmtId="0" fontId="77" fillId="0" borderId="3" xfId="0" applyFont="1" applyFill="1" applyBorder="1" applyAlignment="1">
      <alignment horizontal="center" vertical="center" wrapText="1" shrinkToFit="1"/>
    </xf>
    <xf numFmtId="178" fontId="78" fillId="0" borderId="3" xfId="0" applyNumberFormat="1" applyFont="1" applyFill="1" applyBorder="1" applyAlignment="1">
      <alignment horizontal="center" vertical="center" wrapText="1"/>
    </xf>
    <xf numFmtId="0" fontId="76" fillId="0" borderId="0" xfId="0" applyFont="1" applyFill="1" applyBorder="1" applyAlignment="1">
      <alignment vertical="center"/>
    </xf>
    <xf numFmtId="0" fontId="77" fillId="0" borderId="3" xfId="0" applyFont="1" applyFill="1" applyBorder="1" applyAlignment="1">
      <alignment wrapText="1"/>
    </xf>
    <xf numFmtId="0" fontId="78" fillId="0" borderId="3" xfId="0" quotePrefix="1" applyFont="1" applyFill="1" applyBorder="1" applyAlignment="1">
      <alignment horizontal="center" vertical="center"/>
    </xf>
    <xf numFmtId="0" fontId="77" fillId="0" borderId="0" xfId="0" applyFont="1" applyFill="1" applyBorder="1" applyAlignment="1">
      <alignment wrapText="1"/>
    </xf>
    <xf numFmtId="178" fontId="77" fillId="0" borderId="0" xfId="0" applyNumberFormat="1" applyFont="1" applyFill="1" applyBorder="1" applyAlignment="1">
      <alignment horizontal="center" vertical="center" wrapText="1"/>
    </xf>
    <xf numFmtId="0" fontId="75" fillId="0" borderId="0" xfId="0" applyFont="1" applyFill="1" applyBorder="1" applyAlignment="1">
      <alignment vertical="center"/>
    </xf>
    <xf numFmtId="179" fontId="75" fillId="0" borderId="0" xfId="0" applyNumberFormat="1" applyFont="1" applyFill="1" applyBorder="1" applyAlignment="1">
      <alignment vertical="center"/>
    </xf>
    <xf numFmtId="0" fontId="77" fillId="0" borderId="3" xfId="0" applyFont="1" applyFill="1" applyBorder="1"/>
    <xf numFmtId="0" fontId="77" fillId="0" borderId="0" xfId="0" quotePrefix="1" applyFont="1" applyFill="1" applyBorder="1" applyAlignment="1">
      <alignment horizontal="center" vertical="center"/>
    </xf>
    <xf numFmtId="0" fontId="77" fillId="0" borderId="0" xfId="0" applyFont="1" applyFill="1" applyBorder="1" applyAlignment="1">
      <alignment horizontal="center" vertical="center"/>
    </xf>
    <xf numFmtId="0" fontId="77" fillId="0" borderId="0" xfId="0" applyFont="1" applyFill="1" applyBorder="1" applyAlignment="1">
      <alignment horizontal="left" vertical="center" wrapText="1"/>
    </xf>
    <xf numFmtId="170" fontId="77" fillId="0" borderId="0" xfId="0" applyNumberFormat="1" applyFont="1" applyFill="1" applyBorder="1" applyAlignment="1">
      <alignment horizontal="center" vertical="center" wrapText="1"/>
    </xf>
    <xf numFmtId="170" fontId="77" fillId="0" borderId="0" xfId="0" applyNumberFormat="1" applyFont="1" applyFill="1" applyBorder="1" applyAlignment="1">
      <alignment horizontal="right" vertical="center" wrapText="1"/>
    </xf>
    <xf numFmtId="0" fontId="77" fillId="0" borderId="0" xfId="0" applyFont="1" applyFill="1" applyBorder="1" applyAlignment="1">
      <alignment vertical="center" wrapText="1"/>
    </xf>
    <xf numFmtId="0" fontId="78" fillId="0" borderId="16" xfId="0" quotePrefix="1" applyFont="1" applyFill="1" applyBorder="1" applyAlignment="1">
      <alignment horizontal="center" vertical="center"/>
    </xf>
    <xf numFmtId="0" fontId="90" fillId="32" borderId="0" xfId="358" applyBorder="1" applyAlignment="1">
      <alignment vertical="center"/>
    </xf>
    <xf numFmtId="179" fontId="77" fillId="0" borderId="0" xfId="0" applyNumberFormat="1" applyFont="1" applyFill="1" applyBorder="1" applyAlignment="1">
      <alignment vertical="center"/>
    </xf>
    <xf numFmtId="179" fontId="76" fillId="0" borderId="0" xfId="0" applyNumberFormat="1" applyFont="1" applyFill="1" applyBorder="1" applyAlignment="1">
      <alignment vertical="center"/>
    </xf>
    <xf numFmtId="0" fontId="66" fillId="0" borderId="3" xfId="0" applyFont="1" applyFill="1" applyBorder="1" applyAlignment="1">
      <alignment horizontal="left" vertical="center" wrapText="1"/>
    </xf>
    <xf numFmtId="0" fontId="66" fillId="0" borderId="3" xfId="0" applyFont="1" applyFill="1" applyBorder="1" applyAlignment="1">
      <alignment horizontal="center" vertical="center" wrapText="1"/>
    </xf>
    <xf numFmtId="0" fontId="68" fillId="0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center" vertical="center" wrapText="1"/>
    </xf>
    <xf numFmtId="0" fontId="66" fillId="29" borderId="3" xfId="0" applyFont="1" applyFill="1" applyBorder="1" applyAlignment="1">
      <alignment vertical="center" wrapText="1"/>
    </xf>
    <xf numFmtId="178" fontId="68" fillId="29" borderId="3" xfId="0" applyNumberFormat="1" applyFont="1" applyFill="1" applyBorder="1" applyAlignment="1">
      <alignment horizontal="center" vertical="center"/>
    </xf>
    <xf numFmtId="178" fontId="68" fillId="29" borderId="3" xfId="0" applyNumberFormat="1" applyFont="1" applyFill="1" applyBorder="1" applyAlignment="1">
      <alignment vertical="center" wrapText="1"/>
    </xf>
    <xf numFmtId="49" fontId="66" fillId="29" borderId="3" xfId="0" applyNumberFormat="1" applyFont="1" applyFill="1" applyBorder="1" applyAlignment="1">
      <alignment horizontal="center" vertical="center"/>
    </xf>
    <xf numFmtId="0" fontId="66" fillId="29" borderId="3" xfId="0" applyFont="1" applyFill="1" applyBorder="1" applyAlignment="1">
      <alignment horizontal="left" vertical="center" wrapText="1"/>
    </xf>
    <xf numFmtId="0" fontId="66" fillId="29" borderId="0" xfId="0" applyNumberFormat="1" applyFont="1" applyFill="1" applyBorder="1" applyAlignment="1">
      <alignment vertical="center"/>
    </xf>
    <xf numFmtId="178" fontId="66" fillId="29" borderId="0" xfId="0" applyNumberFormat="1" applyFont="1" applyFill="1" applyBorder="1" applyAlignment="1">
      <alignment vertical="center"/>
    </xf>
    <xf numFmtId="178" fontId="68" fillId="29" borderId="0" xfId="0" applyNumberFormat="1" applyFont="1" applyFill="1" applyBorder="1" applyAlignment="1">
      <alignment horizontal="center" vertical="center"/>
    </xf>
    <xf numFmtId="49" fontId="78" fillId="29" borderId="3" xfId="0" applyNumberFormat="1" applyFont="1" applyFill="1" applyBorder="1" applyAlignment="1">
      <alignment horizontal="center" vertical="center"/>
    </xf>
    <xf numFmtId="0" fontId="78" fillId="29" borderId="3" xfId="0" applyFont="1" applyFill="1" applyBorder="1" applyAlignment="1">
      <alignment horizontal="left" vertical="center" wrapText="1"/>
    </xf>
    <xf numFmtId="0" fontId="78" fillId="29" borderId="3" xfId="0" applyFont="1" applyFill="1" applyBorder="1" applyAlignment="1">
      <alignment horizontal="center" vertical="center" wrapText="1"/>
    </xf>
    <xf numFmtId="178" fontId="74" fillId="29" borderId="3" xfId="0" applyNumberFormat="1" applyFont="1" applyFill="1" applyBorder="1" applyAlignment="1">
      <alignment horizontal="center" vertical="center"/>
    </xf>
    <xf numFmtId="49" fontId="76" fillId="29" borderId="3" xfId="0" applyNumberFormat="1" applyFont="1" applyFill="1" applyBorder="1" applyAlignment="1">
      <alignment horizontal="center" vertical="center"/>
    </xf>
    <xf numFmtId="0" fontId="77" fillId="29" borderId="3" xfId="0" applyFont="1" applyFill="1" applyBorder="1" applyAlignment="1">
      <alignment horizontal="left" vertical="center" wrapText="1"/>
    </xf>
    <xf numFmtId="0" fontId="77" fillId="29" borderId="3" xfId="0" applyFont="1" applyFill="1" applyBorder="1" applyAlignment="1">
      <alignment horizontal="center" vertical="center" wrapText="1"/>
    </xf>
    <xf numFmtId="178" fontId="68" fillId="29" borderId="0" xfId="0" applyNumberFormat="1" applyFont="1" applyFill="1" applyBorder="1" applyAlignment="1">
      <alignment vertical="center"/>
    </xf>
    <xf numFmtId="0" fontId="78" fillId="29" borderId="3" xfId="0" applyFont="1" applyFill="1" applyBorder="1" applyAlignment="1">
      <alignment horizontal="center" vertical="center"/>
    </xf>
    <xf numFmtId="0" fontId="79" fillId="29" borderId="0" xfId="0" applyFont="1" applyFill="1" applyBorder="1" applyAlignment="1">
      <alignment vertical="center"/>
    </xf>
    <xf numFmtId="180" fontId="68" fillId="29" borderId="0" xfId="0" applyNumberFormat="1" applyFont="1" applyFill="1" applyBorder="1" applyAlignment="1">
      <alignment vertical="center"/>
    </xf>
    <xf numFmtId="49" fontId="77" fillId="29" borderId="3" xfId="0" applyNumberFormat="1" applyFont="1" applyFill="1" applyBorder="1" applyAlignment="1">
      <alignment horizontal="center" vertical="center"/>
    </xf>
    <xf numFmtId="170" fontId="68" fillId="29" borderId="0" xfId="0" applyNumberFormat="1" applyFont="1" applyFill="1" applyBorder="1" applyAlignment="1">
      <alignment vertical="center"/>
    </xf>
    <xf numFmtId="49" fontId="74" fillId="29" borderId="3" xfId="0" applyNumberFormat="1" applyFont="1" applyFill="1" applyBorder="1" applyAlignment="1">
      <alignment horizontal="center" vertical="center"/>
    </xf>
    <xf numFmtId="0" fontId="74" fillId="29" borderId="3" xfId="0" applyFont="1" applyFill="1" applyBorder="1" applyAlignment="1">
      <alignment vertical="center" wrapText="1"/>
    </xf>
    <xf numFmtId="0" fontId="74" fillId="29" borderId="3" xfId="0" applyFont="1" applyFill="1" applyBorder="1" applyAlignment="1">
      <alignment horizontal="center" vertical="center" wrapText="1"/>
    </xf>
    <xf numFmtId="49" fontId="68" fillId="29" borderId="3" xfId="0" applyNumberFormat="1" applyFont="1" applyFill="1" applyBorder="1" applyAlignment="1">
      <alignment horizontal="center" vertical="center"/>
    </xf>
    <xf numFmtId="170" fontId="66" fillId="29" borderId="0" xfId="0" applyNumberFormat="1" applyFont="1" applyFill="1" applyBorder="1" applyAlignment="1">
      <alignment vertical="center"/>
    </xf>
    <xf numFmtId="178" fontId="68" fillId="29" borderId="0" xfId="0" applyNumberFormat="1" applyFont="1" applyFill="1" applyBorder="1" applyAlignment="1">
      <alignment horizontal="center"/>
    </xf>
    <xf numFmtId="179" fontId="68" fillId="29" borderId="0" xfId="0" applyNumberFormat="1" applyFont="1" applyFill="1" applyBorder="1" applyAlignment="1">
      <alignment horizontal="center"/>
    </xf>
    <xf numFmtId="49" fontId="75" fillId="29" borderId="3" xfId="0" applyNumberFormat="1" applyFont="1" applyFill="1" applyBorder="1" applyAlignment="1">
      <alignment horizontal="center" vertical="center"/>
    </xf>
    <xf numFmtId="0" fontId="66" fillId="29" borderId="3" xfId="0" applyFont="1" applyFill="1" applyBorder="1" applyAlignment="1">
      <alignment horizontal="left" vertical="center"/>
    </xf>
    <xf numFmtId="169" fontId="68" fillId="29" borderId="0" xfId="0" applyNumberFormat="1" applyFont="1" applyFill="1" applyBorder="1" applyAlignment="1">
      <alignment vertical="center"/>
    </xf>
    <xf numFmtId="0" fontId="75" fillId="29" borderId="3" xfId="0" applyFont="1" applyFill="1" applyBorder="1" applyAlignment="1">
      <alignment horizontal="left" vertical="center" wrapText="1"/>
    </xf>
    <xf numFmtId="0" fontId="75" fillId="29" borderId="3" xfId="0" applyFont="1" applyFill="1" applyBorder="1" applyAlignment="1">
      <alignment horizontal="center" vertical="center"/>
    </xf>
    <xf numFmtId="0" fontId="78" fillId="29" borderId="15" xfId="0" applyFont="1" applyFill="1" applyBorder="1" applyAlignment="1">
      <alignment vertical="center"/>
    </xf>
    <xf numFmtId="0" fontId="78" fillId="29" borderId="3" xfId="0" applyFont="1" applyFill="1" applyBorder="1" applyAlignment="1">
      <alignment vertical="center" wrapText="1"/>
    </xf>
    <xf numFmtId="0" fontId="77" fillId="29" borderId="15" xfId="0" applyFont="1" applyFill="1" applyBorder="1" applyAlignment="1">
      <alignment vertical="center"/>
    </xf>
    <xf numFmtId="0" fontId="75" fillId="29" borderId="3" xfId="0" applyFont="1" applyFill="1" applyBorder="1" applyAlignment="1">
      <alignment vertical="center" wrapText="1"/>
    </xf>
    <xf numFmtId="0" fontId="75" fillId="29" borderId="3" xfId="0" applyFont="1" applyFill="1" applyBorder="1" applyAlignment="1">
      <alignment horizontal="center" vertical="center" wrapText="1"/>
    </xf>
    <xf numFmtId="0" fontId="78" fillId="29" borderId="15" xfId="0" applyFont="1" applyFill="1" applyBorder="1" applyAlignment="1">
      <alignment vertical="center" wrapText="1"/>
    </xf>
    <xf numFmtId="0" fontId="75" fillId="29" borderId="3" xfId="0" applyFont="1" applyFill="1" applyBorder="1" applyAlignment="1">
      <alignment horizontal="left" vertical="center"/>
    </xf>
    <xf numFmtId="0" fontId="78" fillId="29" borderId="3" xfId="0" applyFont="1" applyFill="1" applyBorder="1" applyAlignment="1">
      <alignment horizontal="left" vertical="center"/>
    </xf>
    <xf numFmtId="2" fontId="65" fillId="0" borderId="0" xfId="0" applyNumberFormat="1" applyFont="1" applyFill="1" applyBorder="1" applyAlignment="1">
      <alignment vertical="center"/>
    </xf>
    <xf numFmtId="178" fontId="80" fillId="0" borderId="3" xfId="0" applyNumberFormat="1" applyFont="1" applyFill="1" applyBorder="1" applyAlignment="1">
      <alignment horizontal="right" vertical="center"/>
    </xf>
    <xf numFmtId="178" fontId="87" fillId="29" borderId="3" xfId="0" applyNumberFormat="1" applyFont="1" applyFill="1" applyBorder="1" applyAlignment="1">
      <alignment horizontal="center" vertical="center"/>
    </xf>
    <xf numFmtId="178" fontId="80" fillId="29" borderId="3" xfId="0" applyNumberFormat="1" applyFont="1" applyFill="1" applyBorder="1" applyAlignment="1">
      <alignment horizontal="center" vertical="center"/>
    </xf>
    <xf numFmtId="178" fontId="87" fillId="30" borderId="3" xfId="0" applyNumberFormat="1" applyFont="1" applyFill="1" applyBorder="1" applyAlignment="1">
      <alignment horizontal="center" vertical="center"/>
    </xf>
    <xf numFmtId="178" fontId="81" fillId="29" borderId="3" xfId="0" applyNumberFormat="1" applyFont="1" applyFill="1" applyBorder="1" applyAlignment="1">
      <alignment horizontal="center" vertical="center"/>
    </xf>
    <xf numFmtId="178" fontId="87" fillId="0" borderId="3" xfId="0" applyNumberFormat="1" applyFont="1" applyFill="1" applyBorder="1" applyAlignment="1">
      <alignment horizontal="center" vertical="center"/>
    </xf>
    <xf numFmtId="178" fontId="81" fillId="0" borderId="3" xfId="0" applyNumberFormat="1" applyFont="1" applyFill="1" applyBorder="1" applyAlignment="1">
      <alignment horizontal="center" vertical="center"/>
    </xf>
    <xf numFmtId="178" fontId="81" fillId="30" borderId="3" xfId="0" applyNumberFormat="1" applyFont="1" applyFill="1" applyBorder="1" applyAlignment="1">
      <alignment horizontal="center" vertical="center"/>
    </xf>
    <xf numFmtId="178" fontId="80" fillId="30" borderId="3" xfId="0" applyNumberFormat="1" applyFont="1" applyFill="1" applyBorder="1" applyAlignment="1">
      <alignment horizontal="center" vertical="center"/>
    </xf>
    <xf numFmtId="0" fontId="76" fillId="0" borderId="3" xfId="0" applyFont="1" applyFill="1" applyBorder="1" applyAlignment="1">
      <alignment vertical="center" wrapText="1"/>
    </xf>
    <xf numFmtId="178" fontId="68" fillId="31" borderId="3" xfId="0" applyNumberFormat="1" applyFont="1" applyFill="1" applyBorder="1" applyAlignment="1">
      <alignment horizontal="center" vertical="center" wrapText="1"/>
    </xf>
    <xf numFmtId="178" fontId="68" fillId="31" borderId="3" xfId="0" applyNumberFormat="1" applyFont="1" applyFill="1" applyBorder="1" applyAlignment="1">
      <alignment horizontal="center" vertical="center"/>
    </xf>
    <xf numFmtId="178" fontId="80" fillId="31" borderId="3" xfId="0" applyNumberFormat="1" applyFont="1" applyFill="1" applyBorder="1" applyAlignment="1">
      <alignment horizontal="center" vertical="center"/>
    </xf>
    <xf numFmtId="0" fontId="91" fillId="0" borderId="0" xfId="356" applyFont="1"/>
    <xf numFmtId="0" fontId="68" fillId="0" borderId="0" xfId="0" applyFont="1" applyFill="1" applyBorder="1" applyAlignment="1">
      <alignment horizontal="center" vertical="center"/>
    </xf>
    <xf numFmtId="0" fontId="66" fillId="0" borderId="3" xfId="0" applyFont="1" applyFill="1" applyBorder="1" applyAlignment="1">
      <alignment horizontal="center" vertical="center" wrapText="1"/>
    </xf>
    <xf numFmtId="178" fontId="77" fillId="29" borderId="0" xfId="0" applyNumberFormat="1" applyFont="1" applyFill="1" applyBorder="1" applyAlignment="1">
      <alignment vertical="center"/>
    </xf>
    <xf numFmtId="0" fontId="68" fillId="0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center" vertical="center" wrapText="1"/>
    </xf>
    <xf numFmtId="0" fontId="76" fillId="29" borderId="3" xfId="0" applyFont="1" applyFill="1" applyBorder="1" applyAlignment="1">
      <alignment horizontal="left" vertical="center" wrapText="1"/>
    </xf>
    <xf numFmtId="0" fontId="76" fillId="29" borderId="13" xfId="0" applyFont="1" applyFill="1" applyBorder="1" applyAlignment="1">
      <alignment horizontal="left" vertical="center" wrapText="1"/>
    </xf>
    <xf numFmtId="178" fontId="66" fillId="0" borderId="3" xfId="0" applyNumberFormat="1" applyFont="1" applyFill="1" applyBorder="1" applyAlignment="1">
      <alignment horizontal="right" vertical="center"/>
    </xf>
    <xf numFmtId="0" fontId="66" fillId="33" borderId="3" xfId="0" applyFont="1" applyFill="1" applyBorder="1" applyAlignment="1">
      <alignment horizontal="center" vertical="center" wrapText="1"/>
    </xf>
    <xf numFmtId="178" fontId="66" fillId="33" borderId="3" xfId="0" applyNumberFormat="1" applyFont="1" applyFill="1" applyBorder="1" applyAlignment="1">
      <alignment horizontal="center" vertical="center" wrapText="1"/>
    </xf>
    <xf numFmtId="178" fontId="66" fillId="33" borderId="3" xfId="0" applyNumberFormat="1" applyFont="1" applyFill="1" applyBorder="1" applyAlignment="1">
      <alignment horizontal="center" vertical="center"/>
    </xf>
    <xf numFmtId="0" fontId="66" fillId="34" borderId="3" xfId="0" applyFont="1" applyFill="1" applyBorder="1" applyAlignment="1">
      <alignment horizontal="center" vertical="center" wrapText="1"/>
    </xf>
    <xf numFmtId="178" fontId="66" fillId="34" borderId="3" xfId="0" applyNumberFormat="1" applyFont="1" applyFill="1" applyBorder="1" applyAlignment="1">
      <alignment horizontal="center" vertical="center" wrapText="1"/>
    </xf>
    <xf numFmtId="178" fontId="66" fillId="34" borderId="3" xfId="0" applyNumberFormat="1" applyFont="1" applyFill="1" applyBorder="1" applyAlignment="1">
      <alignment horizontal="center" vertical="center"/>
    </xf>
    <xf numFmtId="178" fontId="75" fillId="34" borderId="3" xfId="0" applyNumberFormat="1" applyFont="1" applyFill="1" applyBorder="1" applyAlignment="1">
      <alignment horizontal="center" vertical="center" wrapText="1"/>
    </xf>
    <xf numFmtId="178" fontId="68" fillId="34" borderId="3" xfId="0" applyNumberFormat="1" applyFont="1" applyFill="1" applyBorder="1" applyAlignment="1">
      <alignment horizontal="center" vertical="center"/>
    </xf>
    <xf numFmtId="0" fontId="66" fillId="34" borderId="3" xfId="0" quotePrefix="1" applyFont="1" applyFill="1" applyBorder="1" applyAlignment="1">
      <alignment horizontal="center" vertical="center"/>
    </xf>
    <xf numFmtId="0" fontId="77" fillId="35" borderId="3" xfId="0" applyFont="1" applyFill="1" applyBorder="1" applyAlignment="1">
      <alignment horizontal="left" vertical="center" wrapText="1"/>
    </xf>
    <xf numFmtId="0" fontId="66" fillId="35" borderId="3" xfId="0" applyFont="1" applyFill="1" applyBorder="1" applyAlignment="1">
      <alignment horizontal="center" vertical="center" wrapText="1"/>
    </xf>
    <xf numFmtId="178" fontId="68" fillId="35" borderId="3" xfId="0" applyNumberFormat="1" applyFont="1" applyFill="1" applyBorder="1" applyAlignment="1">
      <alignment horizontal="center" vertical="center" wrapText="1"/>
    </xf>
    <xf numFmtId="0" fontId="78" fillId="35" borderId="3" xfId="0" applyFont="1" applyFill="1" applyBorder="1" applyAlignment="1">
      <alignment horizontal="center" vertical="center" wrapText="1"/>
    </xf>
    <xf numFmtId="0" fontId="77" fillId="35" borderId="3" xfId="0" applyFont="1" applyFill="1" applyBorder="1" applyAlignment="1">
      <alignment horizontal="center" vertical="center" wrapText="1"/>
    </xf>
    <xf numFmtId="0" fontId="77" fillId="35" borderId="3" xfId="0" applyFont="1" applyFill="1" applyBorder="1" applyAlignment="1">
      <alignment vertical="center" wrapText="1"/>
    </xf>
    <xf numFmtId="0" fontId="77" fillId="35" borderId="3" xfId="0" applyFont="1" applyFill="1" applyBorder="1" applyAlignment="1">
      <alignment vertical="center"/>
    </xf>
    <xf numFmtId="0" fontId="75" fillId="35" borderId="3" xfId="0" applyFont="1" applyFill="1" applyBorder="1" applyAlignment="1">
      <alignment horizontal="center" vertical="center" wrapText="1"/>
    </xf>
    <xf numFmtId="0" fontId="77" fillId="35" borderId="3" xfId="0" applyFont="1" applyFill="1" applyBorder="1" applyAlignment="1">
      <alignment horizontal="center" vertical="center"/>
    </xf>
    <xf numFmtId="0" fontId="68" fillId="35" borderId="3" xfId="0" applyFont="1" applyFill="1" applyBorder="1" applyAlignment="1">
      <alignment horizontal="center" vertical="center" wrapText="1"/>
    </xf>
    <xf numFmtId="0" fontId="77" fillId="35" borderId="15" xfId="0" applyFont="1" applyFill="1" applyBorder="1" applyAlignment="1">
      <alignment horizontal="left" vertical="center" wrapText="1"/>
    </xf>
    <xf numFmtId="0" fontId="68" fillId="36" borderId="3" xfId="0" applyFont="1" applyFill="1" applyBorder="1" applyAlignment="1">
      <alignment vertical="center" wrapText="1"/>
    </xf>
    <xf numFmtId="0" fontId="66" fillId="36" borderId="3" xfId="0" applyFont="1" applyFill="1" applyBorder="1" applyAlignment="1">
      <alignment horizontal="center" vertical="center" wrapText="1"/>
    </xf>
    <xf numFmtId="178" fontId="68" fillId="36" borderId="3" xfId="0" applyNumberFormat="1" applyFont="1" applyFill="1" applyBorder="1" applyAlignment="1">
      <alignment horizontal="center" vertical="center" wrapText="1"/>
    </xf>
    <xf numFmtId="0" fontId="68" fillId="36" borderId="3" xfId="0" applyFont="1" applyFill="1" applyBorder="1" applyAlignment="1">
      <alignment horizontal="left" vertical="center" wrapText="1"/>
    </xf>
    <xf numFmtId="0" fontId="68" fillId="36" borderId="3" xfId="0" applyFont="1" applyFill="1" applyBorder="1" applyAlignment="1">
      <alignment horizontal="center" vertical="center" wrapText="1"/>
    </xf>
    <xf numFmtId="0" fontId="77" fillId="36" borderId="3" xfId="0" applyFont="1" applyFill="1" applyBorder="1" applyAlignment="1">
      <alignment vertical="center" wrapText="1"/>
    </xf>
    <xf numFmtId="0" fontId="77" fillId="36" borderId="3" xfId="0" applyFont="1" applyFill="1" applyBorder="1" applyAlignment="1">
      <alignment horizontal="center" vertical="center"/>
    </xf>
    <xf numFmtId="0" fontId="77" fillId="36" borderId="3" xfId="0" applyFont="1" applyFill="1" applyBorder="1" applyAlignment="1">
      <alignment horizontal="left" vertical="center" wrapText="1"/>
    </xf>
    <xf numFmtId="0" fontId="75" fillId="36" borderId="3" xfId="0" applyFont="1" applyFill="1" applyBorder="1" applyAlignment="1">
      <alignment horizontal="center" vertical="center" wrapText="1"/>
    </xf>
    <xf numFmtId="0" fontId="74" fillId="36" borderId="3" xfId="0" applyFont="1" applyFill="1" applyBorder="1" applyAlignment="1">
      <alignment horizontal="center" vertical="center" wrapText="1"/>
    </xf>
    <xf numFmtId="178" fontId="74" fillId="36" borderId="3" xfId="0" applyNumberFormat="1" applyFont="1" applyFill="1" applyBorder="1" applyAlignment="1">
      <alignment horizontal="center" vertical="center" wrapText="1"/>
    </xf>
    <xf numFmtId="0" fontId="77" fillId="36" borderId="15" xfId="0" applyFont="1" applyFill="1" applyBorder="1" applyAlignment="1">
      <alignment vertical="center" wrapText="1"/>
    </xf>
    <xf numFmtId="0" fontId="77" fillId="36" borderId="3" xfId="0" applyFont="1" applyFill="1" applyBorder="1" applyAlignment="1">
      <alignment horizontal="left" vertical="center"/>
    </xf>
    <xf numFmtId="0" fontId="77" fillId="36" borderId="3" xfId="0" applyFont="1" applyFill="1" applyBorder="1" applyAlignment="1">
      <alignment vertical="center"/>
    </xf>
    <xf numFmtId="0" fontId="77" fillId="36" borderId="15" xfId="0" applyFont="1" applyFill="1" applyBorder="1" applyAlignment="1">
      <alignment horizontal="left" vertical="center" wrapText="1"/>
    </xf>
    <xf numFmtId="0" fontId="77" fillId="36" borderId="15" xfId="0" applyFont="1" applyFill="1" applyBorder="1" applyAlignment="1">
      <alignment vertical="center"/>
    </xf>
    <xf numFmtId="0" fontId="68" fillId="36" borderId="15" xfId="0" applyFont="1" applyFill="1" applyBorder="1" applyAlignment="1">
      <alignment vertical="center" wrapText="1"/>
    </xf>
    <xf numFmtId="0" fontId="78" fillId="36" borderId="3" xfId="0" applyFont="1" applyFill="1" applyBorder="1" applyAlignment="1">
      <alignment horizontal="center" vertical="center"/>
    </xf>
    <xf numFmtId="0" fontId="77" fillId="0" borderId="0" xfId="0" applyFont="1" applyFill="1" applyBorder="1" applyAlignment="1">
      <alignment horizontal="left" vertical="center"/>
    </xf>
    <xf numFmtId="0" fontId="68" fillId="22" borderId="17" xfId="0" applyFont="1" applyFill="1" applyBorder="1" applyAlignment="1">
      <alignment horizontal="center" vertical="center"/>
    </xf>
    <xf numFmtId="0" fontId="68" fillId="22" borderId="17" xfId="0" applyFont="1" applyFill="1" applyBorder="1" applyAlignment="1">
      <alignment horizontal="center" vertical="center" wrapText="1"/>
    </xf>
    <xf numFmtId="0" fontId="68" fillId="22" borderId="17" xfId="0" applyFont="1" applyFill="1" applyBorder="1" applyAlignment="1">
      <alignment horizontal="center" vertical="center" wrapText="1" shrinkToFit="1"/>
    </xf>
    <xf numFmtId="0" fontId="68" fillId="22" borderId="16" xfId="0" applyFont="1" applyFill="1" applyBorder="1" applyAlignment="1">
      <alignment horizontal="center" vertical="center" wrapText="1"/>
    </xf>
    <xf numFmtId="0" fontId="68" fillId="22" borderId="3" xfId="0" applyFont="1" applyFill="1" applyBorder="1" applyAlignment="1">
      <alignment horizontal="center" vertical="center"/>
    </xf>
    <xf numFmtId="0" fontId="68" fillId="22" borderId="3" xfId="0" applyFont="1" applyFill="1" applyBorder="1" applyAlignment="1">
      <alignment horizontal="center" vertical="center" wrapText="1"/>
    </xf>
    <xf numFmtId="0" fontId="74" fillId="29" borderId="3" xfId="0" applyFont="1" applyFill="1" applyBorder="1" applyAlignment="1">
      <alignment horizontal="left" vertical="center" wrapText="1"/>
    </xf>
    <xf numFmtId="0" fontId="74" fillId="22" borderId="3" xfId="0" applyFont="1" applyFill="1" applyBorder="1" applyAlignment="1">
      <alignment horizontal="center" vertical="center" wrapText="1"/>
    </xf>
    <xf numFmtId="178" fontId="74" fillId="29" borderId="3" xfId="0" applyNumberFormat="1" applyFont="1" applyFill="1" applyBorder="1" applyAlignment="1">
      <alignment vertical="center"/>
    </xf>
    <xf numFmtId="178" fontId="77" fillId="36" borderId="3" xfId="0" applyNumberFormat="1" applyFont="1" applyFill="1" applyBorder="1" applyAlignment="1">
      <alignment horizontal="center" vertical="center" wrapText="1"/>
    </xf>
    <xf numFmtId="0" fontId="68" fillId="0" borderId="0" xfId="0" applyFont="1" applyBorder="1" applyAlignment="1">
      <alignment horizontal="left" vertical="center"/>
    </xf>
    <xf numFmtId="0" fontId="66" fillId="22" borderId="0" xfId="0" quotePrefix="1" applyFont="1" applyFill="1" applyBorder="1" applyAlignment="1">
      <alignment horizontal="center" vertical="center"/>
    </xf>
    <xf numFmtId="178" fontId="68" fillId="29" borderId="0" xfId="0" applyNumberFormat="1" applyFont="1" applyFill="1" applyBorder="1" applyAlignment="1">
      <alignment horizontal="center" vertical="center" wrapText="1"/>
    </xf>
    <xf numFmtId="0" fontId="73" fillId="29" borderId="0" xfId="0" applyFont="1" applyFill="1" applyBorder="1" applyAlignment="1">
      <alignment horizontal="center" wrapText="1"/>
    </xf>
    <xf numFmtId="0" fontId="68" fillId="29" borderId="0" xfId="0" quotePrefix="1" applyFont="1" applyFill="1" applyBorder="1" applyAlignment="1">
      <alignment horizontal="center" vertical="center"/>
    </xf>
    <xf numFmtId="170" fontId="68" fillId="29" borderId="0" xfId="0" applyNumberFormat="1" applyFont="1" applyFill="1" applyBorder="1" applyAlignment="1">
      <alignment horizontal="left" vertical="center" wrapText="1"/>
    </xf>
    <xf numFmtId="0" fontId="68" fillId="29" borderId="0" xfId="0" applyFont="1" applyFill="1" applyBorder="1" applyAlignment="1">
      <alignment horizontal="left" vertical="center"/>
    </xf>
    <xf numFmtId="0" fontId="68" fillId="29" borderId="0" xfId="0" applyFont="1" applyFill="1" applyBorder="1" applyAlignment="1">
      <alignment horizontal="center" vertical="center"/>
    </xf>
    <xf numFmtId="0" fontId="68" fillId="22" borderId="0" xfId="0" applyFont="1" applyFill="1" applyBorder="1" applyAlignment="1">
      <alignment horizontal="left" vertical="center" wrapText="1"/>
    </xf>
    <xf numFmtId="0" fontId="68" fillId="22" borderId="0" xfId="0" applyFont="1" applyFill="1" applyBorder="1" applyAlignment="1">
      <alignment horizontal="center" vertical="center"/>
    </xf>
    <xf numFmtId="170" fontId="68" fillId="22" borderId="0" xfId="0" applyNumberFormat="1" applyFont="1" applyFill="1" applyBorder="1" applyAlignment="1">
      <alignment horizontal="center" vertical="center" wrapText="1"/>
    </xf>
    <xf numFmtId="170" fontId="68" fillId="22" borderId="0" xfId="0" applyNumberFormat="1" applyFont="1" applyFill="1" applyBorder="1" applyAlignment="1">
      <alignment horizontal="right" vertical="center" wrapText="1"/>
    </xf>
    <xf numFmtId="0" fontId="77" fillId="37" borderId="3" xfId="0" applyFont="1" applyFill="1" applyBorder="1" applyAlignment="1">
      <alignment horizontal="left" vertical="center" wrapText="1"/>
    </xf>
    <xf numFmtId="0" fontId="66" fillId="37" borderId="3" xfId="0" applyFont="1" applyFill="1" applyBorder="1" applyAlignment="1">
      <alignment horizontal="center" vertical="center" wrapText="1"/>
    </xf>
    <xf numFmtId="178" fontId="68" fillId="37" borderId="3" xfId="0" applyNumberFormat="1" applyFont="1" applyFill="1" applyBorder="1" applyAlignment="1">
      <alignment horizontal="center" vertical="center" wrapText="1"/>
    </xf>
    <xf numFmtId="0" fontId="77" fillId="37" borderId="3" xfId="0" applyFont="1" applyFill="1" applyBorder="1" applyAlignment="1">
      <alignment horizontal="center" vertical="center" wrapText="1"/>
    </xf>
    <xf numFmtId="0" fontId="68" fillId="37" borderId="3" xfId="0" applyFont="1" applyFill="1" applyBorder="1" applyAlignment="1">
      <alignment horizontal="center" vertical="center" wrapText="1"/>
    </xf>
    <xf numFmtId="0" fontId="68" fillId="37" borderId="3" xfId="0" applyFont="1" applyFill="1" applyBorder="1" applyAlignment="1">
      <alignment vertical="center" wrapText="1"/>
    </xf>
    <xf numFmtId="0" fontId="77" fillId="37" borderId="15" xfId="0" applyFont="1" applyFill="1" applyBorder="1" applyAlignment="1">
      <alignment vertical="center" wrapText="1"/>
    </xf>
    <xf numFmtId="0" fontId="78" fillId="37" borderId="3" xfId="0" applyFont="1" applyFill="1" applyBorder="1" applyAlignment="1">
      <alignment horizontal="center" vertical="center" wrapText="1"/>
    </xf>
    <xf numFmtId="0" fontId="77" fillId="37" borderId="3" xfId="0" applyFont="1" applyFill="1" applyBorder="1" applyAlignment="1">
      <alignment vertical="center" wrapText="1"/>
    </xf>
    <xf numFmtId="0" fontId="75" fillId="37" borderId="3" xfId="0" applyFont="1" applyFill="1" applyBorder="1" applyAlignment="1">
      <alignment horizontal="center" vertical="center" wrapText="1"/>
    </xf>
    <xf numFmtId="0" fontId="68" fillId="37" borderId="3" xfId="0" applyFont="1" applyFill="1" applyBorder="1" applyAlignment="1">
      <alignment horizontal="left" vertical="center" wrapText="1"/>
    </xf>
    <xf numFmtId="0" fontId="77" fillId="38" borderId="3" xfId="0" applyFont="1" applyFill="1" applyBorder="1" applyAlignment="1">
      <alignment horizontal="left" vertical="center" wrapText="1"/>
    </xf>
    <xf numFmtId="0" fontId="66" fillId="38" borderId="3" xfId="0" quotePrefix="1" applyFont="1" applyFill="1" applyBorder="1" applyAlignment="1">
      <alignment horizontal="center" vertical="center"/>
    </xf>
    <xf numFmtId="178" fontId="68" fillId="38" borderId="3" xfId="0" applyNumberFormat="1" applyFont="1" applyFill="1" applyBorder="1" applyAlignment="1">
      <alignment horizontal="center" vertical="center" wrapText="1"/>
    </xf>
    <xf numFmtId="0" fontId="77" fillId="38" borderId="3" xfId="0" applyFont="1" applyFill="1" applyBorder="1" applyAlignment="1">
      <alignment vertical="center" wrapText="1"/>
    </xf>
    <xf numFmtId="0" fontId="75" fillId="38" borderId="3" xfId="0" applyFont="1" applyFill="1" applyBorder="1" applyAlignment="1">
      <alignment horizontal="center" vertical="center" wrapText="1"/>
    </xf>
    <xf numFmtId="0" fontId="77" fillId="38" borderId="3" xfId="0" applyFont="1" applyFill="1" applyBorder="1" applyAlignment="1">
      <alignment horizontal="center" vertical="center"/>
    </xf>
    <xf numFmtId="0" fontId="77" fillId="38" borderId="3" xfId="0" applyFont="1" applyFill="1" applyBorder="1" applyAlignment="1">
      <alignment horizontal="left" vertical="center"/>
    </xf>
    <xf numFmtId="0" fontId="77" fillId="38" borderId="3" xfId="0" applyFont="1" applyFill="1" applyBorder="1" applyAlignment="1">
      <alignment horizontal="center" vertical="center" wrapText="1"/>
    </xf>
    <xf numFmtId="0" fontId="77" fillId="38" borderId="3" xfId="0" applyFont="1" applyFill="1" applyBorder="1" applyAlignment="1">
      <alignment vertical="center"/>
    </xf>
    <xf numFmtId="0" fontId="68" fillId="38" borderId="3" xfId="0" applyFont="1" applyFill="1" applyBorder="1" applyAlignment="1">
      <alignment horizontal="center" vertical="center" wrapText="1"/>
    </xf>
    <xf numFmtId="0" fontId="77" fillId="30" borderId="3" xfId="0" applyFont="1" applyFill="1" applyBorder="1" applyAlignment="1">
      <alignment horizontal="left" vertical="center" wrapText="1"/>
    </xf>
    <xf numFmtId="0" fontId="66" fillId="30" borderId="3" xfId="0" quotePrefix="1" applyFont="1" applyFill="1" applyBorder="1" applyAlignment="1">
      <alignment horizontal="center" vertical="center"/>
    </xf>
    <xf numFmtId="178" fontId="68" fillId="30" borderId="3" xfId="0" applyNumberFormat="1" applyFont="1" applyFill="1" applyBorder="1" applyAlignment="1">
      <alignment horizontal="center" vertical="center" wrapText="1"/>
    </xf>
    <xf numFmtId="0" fontId="77" fillId="30" borderId="3" xfId="0" applyFont="1" applyFill="1" applyBorder="1" applyAlignment="1">
      <alignment horizontal="center" vertical="center" wrapText="1"/>
    </xf>
    <xf numFmtId="0" fontId="77" fillId="30" borderId="13" xfId="0" applyFont="1" applyFill="1" applyBorder="1" applyAlignment="1">
      <alignment horizontal="left" vertical="center"/>
    </xf>
    <xf numFmtId="0" fontId="77" fillId="30" borderId="3" xfId="0" applyFont="1" applyFill="1" applyBorder="1" applyAlignment="1">
      <alignment horizontal="center" vertical="center"/>
    </xf>
    <xf numFmtId="0" fontId="78" fillId="30" borderId="3" xfId="0" applyFont="1" applyFill="1" applyBorder="1" applyAlignment="1">
      <alignment horizontal="center" vertical="center"/>
    </xf>
    <xf numFmtId="0" fontId="77" fillId="30" borderId="13" xfId="0" applyFont="1" applyFill="1" applyBorder="1" applyAlignment="1">
      <alignment horizontal="left" vertical="center" wrapText="1"/>
    </xf>
    <xf numFmtId="0" fontId="68" fillId="30" borderId="13" xfId="0" applyFont="1" applyFill="1" applyBorder="1" applyAlignment="1">
      <alignment horizontal="left" vertical="center"/>
    </xf>
    <xf numFmtId="0" fontId="77" fillId="30" borderId="3" xfId="0" applyFont="1" applyFill="1" applyBorder="1" applyAlignment="1">
      <alignment vertical="center" wrapText="1"/>
    </xf>
    <xf numFmtId="178" fontId="74" fillId="30" borderId="3" xfId="0" applyNumberFormat="1" applyFont="1" applyFill="1" applyBorder="1" applyAlignment="1">
      <alignment horizontal="center" vertical="center" wrapText="1"/>
    </xf>
    <xf numFmtId="0" fontId="74" fillId="39" borderId="3" xfId="0" applyFont="1" applyFill="1" applyBorder="1" applyAlignment="1">
      <alignment horizontal="left" vertical="center" wrapText="1"/>
    </xf>
    <xf numFmtId="0" fontId="74" fillId="39" borderId="3" xfId="0" applyFont="1" applyFill="1" applyBorder="1" applyAlignment="1">
      <alignment horizontal="center" vertical="center" wrapText="1"/>
    </xf>
    <xf numFmtId="178" fontId="74" fillId="39" borderId="3" xfId="0" applyNumberFormat="1" applyFont="1" applyFill="1" applyBorder="1" applyAlignment="1">
      <alignment horizontal="center" vertical="center" wrapText="1"/>
    </xf>
    <xf numFmtId="178" fontId="74" fillId="39" borderId="3" xfId="0" applyNumberFormat="1" applyFont="1" applyFill="1" applyBorder="1" applyAlignment="1">
      <alignment vertical="center"/>
    </xf>
    <xf numFmtId="0" fontId="74" fillId="40" borderId="3" xfId="0" applyFont="1" applyFill="1" applyBorder="1" applyAlignment="1">
      <alignment horizontal="left" vertical="center" wrapText="1"/>
    </xf>
    <xf numFmtId="0" fontId="74" fillId="40" borderId="3" xfId="0" applyFont="1" applyFill="1" applyBorder="1" applyAlignment="1">
      <alignment horizontal="center" vertical="center" wrapText="1"/>
    </xf>
    <xf numFmtId="178" fontId="74" fillId="40" borderId="3" xfId="0" applyNumberFormat="1" applyFont="1" applyFill="1" applyBorder="1" applyAlignment="1">
      <alignment horizontal="center" vertical="center" wrapText="1"/>
    </xf>
    <xf numFmtId="178" fontId="74" fillId="40" borderId="3" xfId="0" applyNumberFormat="1" applyFont="1" applyFill="1" applyBorder="1" applyAlignment="1">
      <alignment vertical="center"/>
    </xf>
    <xf numFmtId="0" fontId="74" fillId="40" borderId="3" xfId="0" quotePrefix="1" applyFont="1" applyFill="1" applyBorder="1" applyAlignment="1">
      <alignment horizontal="center" vertical="center"/>
    </xf>
    <xf numFmtId="0" fontId="66" fillId="22" borderId="3" xfId="0" applyFont="1" applyFill="1" applyBorder="1" applyAlignment="1">
      <alignment horizontal="left" vertical="center" wrapText="1"/>
    </xf>
    <xf numFmtId="178" fontId="68" fillId="29" borderId="3" xfId="0" applyNumberFormat="1" applyFont="1" applyFill="1" applyBorder="1" applyAlignment="1">
      <alignment vertical="center"/>
    </xf>
    <xf numFmtId="178" fontId="67" fillId="29" borderId="3" xfId="0" applyNumberFormat="1" applyFont="1" applyFill="1" applyBorder="1" applyAlignment="1">
      <alignment vertical="center"/>
    </xf>
    <xf numFmtId="178" fontId="80" fillId="29" borderId="3" xfId="0" applyNumberFormat="1" applyFont="1" applyFill="1" applyBorder="1" applyAlignment="1">
      <alignment vertical="center"/>
    </xf>
    <xf numFmtId="0" fontId="74" fillId="33" borderId="3" xfId="0" applyFont="1" applyFill="1" applyBorder="1" applyAlignment="1">
      <alignment horizontal="left" vertical="center" wrapText="1"/>
    </xf>
    <xf numFmtId="0" fontId="74" fillId="33" borderId="3" xfId="0" applyFont="1" applyFill="1" applyBorder="1" applyAlignment="1">
      <alignment horizontal="center" vertical="center" wrapText="1"/>
    </xf>
    <xf numFmtId="178" fontId="74" fillId="33" borderId="3" xfId="0" applyNumberFormat="1" applyFont="1" applyFill="1" applyBorder="1" applyAlignment="1">
      <alignment horizontal="center" vertical="center" wrapText="1"/>
    </xf>
    <xf numFmtId="178" fontId="74" fillId="33" borderId="3" xfId="0" applyNumberFormat="1" applyFont="1" applyFill="1" applyBorder="1" applyAlignment="1">
      <alignment vertical="center"/>
    </xf>
    <xf numFmtId="178" fontId="92" fillId="29" borderId="3" xfId="0" applyNumberFormat="1" applyFont="1" applyFill="1" applyBorder="1" applyAlignment="1">
      <alignment vertical="center"/>
    </xf>
    <xf numFmtId="0" fontId="68" fillId="22" borderId="3" xfId="0" quotePrefix="1" applyFont="1" applyFill="1" applyBorder="1" applyAlignment="1">
      <alignment horizontal="center" vertical="center"/>
    </xf>
    <xf numFmtId="0" fontId="77" fillId="0" borderId="17" xfId="0" applyFont="1" applyFill="1" applyBorder="1"/>
    <xf numFmtId="0" fontId="77" fillId="0" borderId="19" xfId="0" applyFont="1" applyFill="1" applyBorder="1"/>
    <xf numFmtId="0" fontId="77" fillId="0" borderId="3" xfId="355" applyFont="1" applyFill="1" applyBorder="1" applyAlignment="1">
      <alignment vertical="center" wrapText="1"/>
    </xf>
    <xf numFmtId="0" fontId="77" fillId="0" borderId="15" xfId="355" applyFont="1" applyFill="1" applyBorder="1" applyAlignment="1">
      <alignment vertical="center" wrapText="1"/>
    </xf>
    <xf numFmtId="0" fontId="75" fillId="37" borderId="3" xfId="0" applyFont="1" applyFill="1" applyBorder="1" applyAlignment="1">
      <alignment horizontal="left" vertical="center" wrapText="1"/>
    </xf>
    <xf numFmtId="178" fontId="75" fillId="37" borderId="3" xfId="0" applyNumberFormat="1" applyFont="1" applyFill="1" applyBorder="1" applyAlignment="1">
      <alignment horizontal="center" vertical="center" wrapText="1"/>
    </xf>
    <xf numFmtId="178" fontId="75" fillId="37" borderId="3" xfId="0" applyNumberFormat="1" applyFont="1" applyFill="1" applyBorder="1" applyAlignment="1">
      <alignment vertical="center"/>
    </xf>
    <xf numFmtId="0" fontId="78" fillId="37" borderId="3" xfId="0" applyFont="1" applyFill="1" applyBorder="1" applyAlignment="1">
      <alignment horizontal="left" vertical="center" wrapText="1"/>
    </xf>
    <xf numFmtId="178" fontId="78" fillId="37" borderId="3" xfId="0" applyNumberFormat="1" applyFont="1" applyFill="1" applyBorder="1" applyAlignment="1">
      <alignment horizontal="center" vertical="center" wrapText="1"/>
    </xf>
    <xf numFmtId="178" fontId="78" fillId="37" borderId="3" xfId="0" applyNumberFormat="1" applyFont="1" applyFill="1" applyBorder="1" applyAlignment="1">
      <alignment vertical="center"/>
    </xf>
    <xf numFmtId="0" fontId="78" fillId="37" borderId="3" xfId="0" quotePrefix="1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 wrapText="1"/>
    </xf>
    <xf numFmtId="0" fontId="77" fillId="0" borderId="17" xfId="0" applyFont="1" applyFill="1" applyBorder="1" applyAlignment="1">
      <alignment vertical="center"/>
    </xf>
    <xf numFmtId="0" fontId="77" fillId="0" borderId="19" xfId="0" applyFont="1" applyFill="1" applyBorder="1" applyAlignment="1">
      <alignment vertical="center"/>
    </xf>
    <xf numFmtId="0" fontId="89" fillId="0" borderId="0" xfId="0" applyFont="1" applyFill="1" applyBorder="1" applyAlignment="1">
      <alignment horizontal="center" vertical="center" wrapText="1"/>
    </xf>
    <xf numFmtId="178" fontId="80" fillId="0" borderId="3" xfId="0" applyNumberFormat="1" applyFont="1" applyFill="1" applyBorder="1" applyAlignment="1">
      <alignment vertical="center"/>
    </xf>
    <xf numFmtId="178" fontId="80" fillId="0" borderId="15" xfId="0" applyNumberFormat="1" applyFont="1" applyFill="1" applyBorder="1" applyAlignment="1">
      <alignment vertical="center"/>
    </xf>
    <xf numFmtId="178" fontId="81" fillId="37" borderId="3" xfId="0" applyNumberFormat="1" applyFont="1" applyFill="1" applyBorder="1" applyAlignment="1">
      <alignment vertical="center"/>
    </xf>
    <xf numFmtId="178" fontId="81" fillId="0" borderId="3" xfId="0" applyNumberFormat="1" applyFont="1" applyFill="1" applyBorder="1" applyAlignment="1">
      <alignment vertical="center"/>
    </xf>
    <xf numFmtId="0" fontId="68" fillId="29" borderId="0" xfId="0" applyFont="1" applyFill="1" applyAlignment="1">
      <alignment horizontal="right" vertical="center"/>
    </xf>
    <xf numFmtId="0" fontId="68" fillId="29" borderId="0" xfId="0" applyFont="1" applyFill="1" applyAlignment="1">
      <alignment vertical="center"/>
    </xf>
    <xf numFmtId="0" fontId="66" fillId="29" borderId="0" xfId="0" applyFont="1" applyFill="1" applyAlignment="1">
      <alignment vertical="center"/>
    </xf>
    <xf numFmtId="0" fontId="66" fillId="29" borderId="0" xfId="0" applyFont="1" applyFill="1" applyBorder="1" applyAlignment="1">
      <alignment horizontal="left" vertical="center"/>
    </xf>
    <xf numFmtId="0" fontId="68" fillId="29" borderId="13" xfId="0" applyFont="1" applyFill="1" applyBorder="1" applyAlignment="1">
      <alignment vertical="center"/>
    </xf>
    <xf numFmtId="0" fontId="68" fillId="29" borderId="13" xfId="0" applyFont="1" applyFill="1" applyBorder="1" applyAlignment="1">
      <alignment horizontal="center" vertical="center"/>
    </xf>
    <xf numFmtId="0" fontId="68" fillId="29" borderId="17" xfId="0" applyFont="1" applyFill="1" applyBorder="1" applyAlignment="1">
      <alignment horizontal="center" vertical="center" wrapText="1"/>
    </xf>
    <xf numFmtId="0" fontId="68" fillId="29" borderId="3" xfId="0" applyFont="1" applyFill="1" applyBorder="1" applyAlignment="1">
      <alignment horizontal="center" vertical="center"/>
    </xf>
    <xf numFmtId="179" fontId="68" fillId="29" borderId="0" xfId="0" applyNumberFormat="1" applyFont="1" applyFill="1" applyAlignment="1">
      <alignment vertical="center"/>
    </xf>
    <xf numFmtId="0" fontId="74" fillId="29" borderId="0" xfId="0" applyFont="1" applyFill="1" applyAlignment="1">
      <alignment vertical="center"/>
    </xf>
    <xf numFmtId="0" fontId="66" fillId="29" borderId="15" xfId="0" applyFont="1" applyFill="1" applyBorder="1" applyAlignment="1">
      <alignment horizontal="center" vertical="center" wrapText="1"/>
    </xf>
    <xf numFmtId="0" fontId="68" fillId="29" borderId="0" xfId="0" applyFont="1" applyFill="1" applyBorder="1" applyAlignment="1">
      <alignment horizontal="center" vertical="center" wrapText="1"/>
    </xf>
    <xf numFmtId="0" fontId="68" fillId="29" borderId="0" xfId="0" applyFont="1" applyFill="1" applyBorder="1" applyAlignment="1">
      <alignment vertical="center" wrapText="1"/>
    </xf>
    <xf numFmtId="169" fontId="68" fillId="29" borderId="0" xfId="0" applyNumberFormat="1" applyFont="1" applyFill="1" applyBorder="1" applyAlignment="1">
      <alignment vertical="center" wrapText="1"/>
    </xf>
    <xf numFmtId="169" fontId="68" fillId="29" borderId="0" xfId="0" applyNumberFormat="1" applyFont="1" applyFill="1" applyBorder="1" applyAlignment="1">
      <alignment horizontal="center" vertical="center" wrapText="1"/>
    </xf>
    <xf numFmtId="0" fontId="66" fillId="29" borderId="0" xfId="0" applyFont="1" applyFill="1" applyBorder="1" applyAlignment="1">
      <alignment horizontal="right" vertical="center"/>
    </xf>
    <xf numFmtId="169" fontId="66" fillId="29" borderId="0" xfId="0" applyNumberFormat="1" applyFont="1" applyFill="1" applyBorder="1" applyAlignment="1">
      <alignment vertical="center"/>
    </xf>
    <xf numFmtId="169" fontId="66" fillId="29" borderId="0" xfId="0" applyNumberFormat="1" applyFont="1" applyFill="1" applyBorder="1" applyAlignment="1">
      <alignment horizontal="right" vertical="center"/>
    </xf>
    <xf numFmtId="0" fontId="68" fillId="29" borderId="0" xfId="0" applyFont="1" applyFill="1" applyAlignment="1">
      <alignment horizontal="center" vertical="center"/>
    </xf>
    <xf numFmtId="0" fontId="66" fillId="29" borderId="0" xfId="0" applyFont="1" applyFill="1" applyAlignment="1">
      <alignment horizontal="center" vertical="center"/>
    </xf>
    <xf numFmtId="0" fontId="68" fillId="29" borderId="0" xfId="0" applyFont="1" applyFill="1" applyAlignment="1"/>
    <xf numFmtId="0" fontId="68" fillId="29" borderId="0" xfId="0" applyFont="1" applyFill="1" applyBorder="1" applyAlignment="1">
      <alignment horizontal="center"/>
    </xf>
    <xf numFmtId="0" fontId="68" fillId="29" borderId="0" xfId="0" applyFont="1" applyFill="1" applyBorder="1" applyAlignment="1"/>
    <xf numFmtId="0" fontId="66" fillId="29" borderId="0" xfId="0" applyFont="1" applyFill="1" applyAlignment="1"/>
    <xf numFmtId="0" fontId="67" fillId="29" borderId="0" xfId="0" applyFont="1" applyFill="1" applyBorder="1" applyAlignment="1">
      <alignment horizontal="center" vertical="center"/>
    </xf>
    <xf numFmtId="0" fontId="67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/>
    </xf>
    <xf numFmtId="0" fontId="68" fillId="29" borderId="0" xfId="0" applyFont="1" applyFill="1" applyAlignment="1">
      <alignment vertical="center" wrapText="1" shrinkToFit="1"/>
    </xf>
    <xf numFmtId="0" fontId="68" fillId="29" borderId="0" xfId="0" applyFont="1" applyFill="1" applyBorder="1" applyAlignment="1">
      <alignment vertical="center" wrapText="1" shrinkToFit="1"/>
    </xf>
    <xf numFmtId="0" fontId="68" fillId="29" borderId="3" xfId="0" applyFont="1" applyFill="1" applyBorder="1" applyAlignment="1">
      <alignment vertical="center"/>
    </xf>
    <xf numFmtId="0" fontId="68" fillId="29" borderId="14" xfId="0" applyFont="1" applyFill="1" applyBorder="1" applyAlignment="1">
      <alignment vertical="center"/>
    </xf>
    <xf numFmtId="0" fontId="68" fillId="29" borderId="16" xfId="0" applyFont="1" applyFill="1" applyBorder="1" applyAlignment="1">
      <alignment vertical="center"/>
    </xf>
    <xf numFmtId="0" fontId="68" fillId="29" borderId="15" xfId="0" applyFont="1" applyFill="1" applyBorder="1" applyAlignment="1">
      <alignment vertical="center"/>
    </xf>
    <xf numFmtId="178" fontId="77" fillId="33" borderId="3" xfId="0" applyNumberFormat="1" applyFont="1" applyFill="1" applyBorder="1" applyAlignment="1">
      <alignment horizontal="center" vertical="center" wrapText="1"/>
    </xf>
    <xf numFmtId="178" fontId="87" fillId="40" borderId="3" xfId="0" applyNumberFormat="1" applyFont="1" applyFill="1" applyBorder="1" applyAlignment="1">
      <alignment vertical="center"/>
    </xf>
    <xf numFmtId="0" fontId="66" fillId="0" borderId="0" xfId="0" applyFont="1" applyFill="1" applyBorder="1" applyAlignment="1">
      <alignment vertical="center"/>
    </xf>
    <xf numFmtId="0" fontId="79" fillId="0" borderId="0" xfId="0" applyFont="1" applyFill="1" applyBorder="1" applyAlignment="1">
      <alignment vertical="center"/>
    </xf>
    <xf numFmtId="0" fontId="66" fillId="0" borderId="0" xfId="0" applyFont="1" applyFill="1" applyBorder="1" applyAlignment="1">
      <alignment vertical="center"/>
    </xf>
    <xf numFmtId="0" fontId="66" fillId="0" borderId="0" xfId="0" applyFont="1" applyFill="1" applyBorder="1" applyAlignment="1">
      <alignment vertical="center"/>
    </xf>
    <xf numFmtId="178" fontId="68" fillId="29" borderId="3" xfId="0" applyNumberFormat="1" applyFont="1" applyFill="1" applyBorder="1" applyAlignment="1">
      <alignment horizontal="center" vertical="center" wrapText="1"/>
    </xf>
    <xf numFmtId="178" fontId="77" fillId="41" borderId="3" xfId="0" applyNumberFormat="1" applyFont="1" applyFill="1" applyBorder="1" applyAlignment="1">
      <alignment horizontal="center" vertical="center" wrapText="1"/>
    </xf>
    <xf numFmtId="0" fontId="79" fillId="0" borderId="3" xfId="0" applyFont="1" applyFill="1" applyBorder="1" applyAlignment="1">
      <alignment wrapText="1"/>
    </xf>
    <xf numFmtId="0" fontId="79" fillId="22" borderId="3" xfId="0" quotePrefix="1" applyFont="1" applyFill="1" applyBorder="1" applyAlignment="1">
      <alignment horizontal="center" vertical="center"/>
    </xf>
    <xf numFmtId="178" fontId="96" fillId="29" borderId="3" xfId="0" applyNumberFormat="1" applyFont="1" applyFill="1" applyBorder="1" applyAlignment="1">
      <alignment horizontal="center" vertical="center" wrapText="1"/>
    </xf>
    <xf numFmtId="178" fontId="79" fillId="0" borderId="3" xfId="0" applyNumberFormat="1" applyFont="1" applyFill="1" applyBorder="1" applyAlignment="1">
      <alignment vertical="center"/>
    </xf>
    <xf numFmtId="0" fontId="66" fillId="0" borderId="0" xfId="0" applyFont="1" applyFill="1" applyBorder="1" applyAlignment="1">
      <alignment vertical="center"/>
    </xf>
    <xf numFmtId="0" fontId="68" fillId="0" borderId="0" xfId="0" applyFont="1" applyFill="1" applyBorder="1" applyAlignment="1">
      <alignment vertical="center"/>
    </xf>
    <xf numFmtId="0" fontId="66" fillId="0" borderId="0" xfId="0" applyFont="1" applyFill="1" applyBorder="1" applyAlignment="1">
      <alignment vertical="center"/>
    </xf>
    <xf numFmtId="0" fontId="0" fillId="0" borderId="0" xfId="0"/>
    <xf numFmtId="0" fontId="66" fillId="0" borderId="0" xfId="0" applyFont="1" applyFill="1" applyBorder="1" applyAlignment="1">
      <alignment vertical="center"/>
    </xf>
    <xf numFmtId="179" fontId="68" fillId="0" borderId="0" xfId="0" applyNumberFormat="1" applyFont="1" applyFill="1" applyBorder="1" applyAlignment="1">
      <alignment vertical="center"/>
    </xf>
    <xf numFmtId="0" fontId="77" fillId="0" borderId="3" xfId="0" applyFont="1" applyFill="1" applyBorder="1" applyAlignment="1">
      <alignment vertical="center" wrapText="1"/>
    </xf>
    <xf numFmtId="0" fontId="77" fillId="0" borderId="0" xfId="0" applyFont="1" applyFill="1" applyBorder="1" applyAlignment="1">
      <alignment vertical="center"/>
    </xf>
    <xf numFmtId="178" fontId="75" fillId="0" borderId="3" xfId="0" applyNumberFormat="1" applyFont="1" applyFill="1" applyBorder="1" applyAlignment="1">
      <alignment horizontal="center" vertical="center" wrapText="1"/>
    </xf>
    <xf numFmtId="178" fontId="68" fillId="29" borderId="3" xfId="0" applyNumberFormat="1" applyFont="1" applyFill="1" applyBorder="1" applyAlignment="1">
      <alignment horizontal="center" vertical="center" wrapText="1"/>
    </xf>
    <xf numFmtId="178" fontId="77" fillId="0" borderId="3" xfId="0" applyNumberFormat="1" applyFont="1" applyFill="1" applyBorder="1" applyAlignment="1">
      <alignment horizontal="center" vertical="center" wrapText="1"/>
    </xf>
    <xf numFmtId="178" fontId="66" fillId="29" borderId="3" xfId="0" applyNumberFormat="1" applyFont="1" applyFill="1" applyBorder="1" applyAlignment="1">
      <alignment horizontal="center" vertical="center" wrapText="1"/>
    </xf>
    <xf numFmtId="0" fontId="68" fillId="29" borderId="3" xfId="0" applyFont="1" applyFill="1" applyBorder="1" applyAlignment="1">
      <alignment horizontal="center" vertical="center" wrapText="1"/>
    </xf>
    <xf numFmtId="0" fontId="66" fillId="29" borderId="3" xfId="0" applyFont="1" applyFill="1" applyBorder="1" applyAlignment="1">
      <alignment horizontal="center" vertical="center" wrapText="1"/>
    </xf>
    <xf numFmtId="178" fontId="66" fillId="29" borderId="3" xfId="0" applyNumberFormat="1" applyFont="1" applyFill="1" applyBorder="1" applyAlignment="1">
      <alignment horizontal="center" vertical="center"/>
    </xf>
    <xf numFmtId="178" fontId="78" fillId="0" borderId="3" xfId="0" applyNumberFormat="1" applyFont="1" applyFill="1" applyBorder="1" applyAlignment="1">
      <alignment horizontal="center" vertical="center" wrapText="1"/>
    </xf>
    <xf numFmtId="0" fontId="78" fillId="0" borderId="3" xfId="0" quotePrefix="1" applyFont="1" applyFill="1" applyBorder="1" applyAlignment="1">
      <alignment horizontal="center" vertical="center"/>
    </xf>
    <xf numFmtId="178" fontId="81" fillId="29" borderId="3" xfId="0" applyNumberFormat="1" applyFont="1" applyFill="1" applyBorder="1" applyAlignment="1">
      <alignment horizontal="center" vertical="center" wrapText="1"/>
    </xf>
    <xf numFmtId="178" fontId="66" fillId="33" borderId="3" xfId="0" applyNumberFormat="1" applyFont="1" applyFill="1" applyBorder="1" applyAlignment="1">
      <alignment horizontal="center" vertical="center" wrapText="1"/>
    </xf>
    <xf numFmtId="178" fontId="80" fillId="29" borderId="3" xfId="0" applyNumberFormat="1" applyFont="1" applyFill="1" applyBorder="1" applyAlignment="1">
      <alignment vertical="center"/>
    </xf>
    <xf numFmtId="178" fontId="68" fillId="33" borderId="3" xfId="0" applyNumberFormat="1" applyFont="1" applyFill="1" applyBorder="1" applyAlignment="1">
      <alignment horizontal="center" vertical="center" wrapText="1"/>
    </xf>
    <xf numFmtId="178" fontId="80" fillId="0" borderId="3" xfId="0" applyNumberFormat="1" applyFont="1" applyFill="1" applyBorder="1" applyAlignment="1">
      <alignment vertical="center"/>
    </xf>
    <xf numFmtId="178" fontId="81" fillId="33" borderId="3" xfId="0" applyNumberFormat="1" applyFont="1" applyFill="1" applyBorder="1" applyAlignment="1">
      <alignment horizontal="center" vertical="center" wrapText="1"/>
    </xf>
    <xf numFmtId="0" fontId="68" fillId="29" borderId="0" xfId="0" applyFont="1" applyFill="1" applyAlignment="1">
      <alignment horizontal="right" vertical="center"/>
    </xf>
    <xf numFmtId="0" fontId="68" fillId="29" borderId="0" xfId="0" applyFont="1" applyFill="1" applyAlignment="1">
      <alignment vertical="center"/>
    </xf>
    <xf numFmtId="0" fontId="66" fillId="29" borderId="0" xfId="0" applyFont="1" applyFill="1" applyBorder="1" applyAlignment="1">
      <alignment horizontal="left" vertical="center"/>
    </xf>
    <xf numFmtId="0" fontId="68" fillId="29" borderId="3" xfId="0" applyFont="1" applyFill="1" applyBorder="1" applyAlignment="1">
      <alignment horizontal="center" vertical="center"/>
    </xf>
    <xf numFmtId="0" fontId="68" fillId="29" borderId="0" xfId="0" applyFont="1" applyFill="1" applyAlignment="1">
      <alignment horizontal="center" vertical="center"/>
    </xf>
    <xf numFmtId="0" fontId="68" fillId="29" borderId="0" xfId="0" applyFont="1" applyFill="1" applyAlignment="1"/>
    <xf numFmtId="0" fontId="79" fillId="0" borderId="0" xfId="0" applyFont="1" applyFill="1" applyBorder="1" applyAlignment="1">
      <alignment vertical="center"/>
    </xf>
    <xf numFmtId="0" fontId="95" fillId="0" borderId="0" xfId="0" applyFont="1" applyFill="1" applyBorder="1" applyAlignment="1">
      <alignment vertical="center"/>
    </xf>
    <xf numFmtId="0" fontId="65" fillId="0" borderId="0" xfId="0" applyFont="1" applyFill="1" applyBorder="1" applyAlignment="1">
      <alignment horizontal="center" vertical="center"/>
    </xf>
    <xf numFmtId="0" fontId="65" fillId="0" borderId="0" xfId="0" applyFont="1" applyFill="1" applyAlignment="1">
      <alignment horizontal="left" vertical="center"/>
    </xf>
    <xf numFmtId="0" fontId="70" fillId="0" borderId="3" xfId="0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center" vertical="center"/>
    </xf>
    <xf numFmtId="0" fontId="69" fillId="0" borderId="3" xfId="0" applyFont="1" applyFill="1" applyBorder="1" applyAlignment="1">
      <alignment horizontal="center" vertical="center" wrapText="1"/>
    </xf>
    <xf numFmtId="0" fontId="69" fillId="0" borderId="3" xfId="0" applyFont="1" applyFill="1" applyBorder="1" applyAlignment="1" applyProtection="1">
      <alignment horizontal="center" vertical="center" wrapText="1"/>
      <protection locked="0"/>
    </xf>
    <xf numFmtId="181" fontId="69" fillId="0" borderId="3" xfId="0" applyNumberFormat="1" applyFont="1" applyFill="1" applyBorder="1" applyAlignment="1">
      <alignment horizontal="center" vertical="center" wrapText="1"/>
    </xf>
    <xf numFmtId="181" fontId="65" fillId="0" borderId="3" xfId="0" applyNumberFormat="1" applyFont="1" applyFill="1" applyBorder="1" applyAlignment="1">
      <alignment horizontal="center" vertical="center" wrapText="1"/>
    </xf>
    <xf numFmtId="181" fontId="82" fillId="0" borderId="3" xfId="0" applyNumberFormat="1" applyFont="1" applyFill="1" applyBorder="1" applyAlignment="1">
      <alignment horizontal="center" vertical="center" wrapText="1"/>
    </xf>
    <xf numFmtId="0" fontId="71" fillId="0" borderId="3" xfId="0" applyFont="1" applyFill="1" applyBorder="1" applyAlignment="1">
      <alignment horizontal="left" vertical="center" wrapText="1"/>
    </xf>
    <xf numFmtId="0" fontId="71" fillId="0" borderId="3" xfId="0" applyFont="1" applyFill="1" applyBorder="1" applyAlignment="1">
      <alignment horizontal="center" vertical="center"/>
    </xf>
    <xf numFmtId="181" fontId="71" fillId="0" borderId="3" xfId="0" applyNumberFormat="1" applyFont="1" applyFill="1" applyBorder="1" applyAlignment="1">
      <alignment horizontal="center" vertical="center" wrapText="1"/>
    </xf>
    <xf numFmtId="0" fontId="65" fillId="0" borderId="3" xfId="0" applyFont="1" applyFill="1" applyBorder="1" applyAlignment="1" applyProtection="1">
      <alignment horizontal="left" vertical="center" wrapText="1"/>
      <protection locked="0"/>
    </xf>
    <xf numFmtId="0" fontId="71" fillId="0" borderId="3" xfId="0" applyFont="1" applyFill="1" applyBorder="1" applyAlignment="1">
      <alignment horizontal="center" vertical="center" wrapText="1"/>
    </xf>
    <xf numFmtId="181" fontId="83" fillId="0" borderId="3" xfId="0" applyNumberFormat="1" applyFont="1" applyFill="1" applyBorder="1" applyAlignment="1">
      <alignment horizontal="center" vertical="center" wrapText="1"/>
    </xf>
    <xf numFmtId="170" fontId="85" fillId="0" borderId="3" xfId="0" applyNumberFormat="1" applyFont="1" applyFill="1" applyBorder="1" applyAlignment="1">
      <alignment horizontal="right" vertical="center" wrapText="1"/>
    </xf>
    <xf numFmtId="178" fontId="84" fillId="0" borderId="3" xfId="0" applyNumberFormat="1" applyFont="1" applyFill="1" applyBorder="1" applyAlignment="1">
      <alignment horizontal="right" vertical="center" wrapText="1"/>
    </xf>
    <xf numFmtId="0" fontId="65" fillId="0" borderId="0" xfId="0" applyFont="1" applyFill="1" applyBorder="1" applyAlignment="1">
      <alignment horizontal="center" vertical="center"/>
    </xf>
    <xf numFmtId="0" fontId="65" fillId="0" borderId="0" xfId="0" applyFont="1" applyFill="1" applyAlignment="1">
      <alignment horizontal="left" vertical="center"/>
    </xf>
    <xf numFmtId="170" fontId="65" fillId="0" borderId="13" xfId="0" applyNumberFormat="1" applyFont="1" applyFill="1" applyBorder="1" applyAlignment="1">
      <alignment horizontal="center" vertical="center" wrapText="1"/>
    </xf>
    <xf numFmtId="170" fontId="65" fillId="0" borderId="13" xfId="0" quotePrefix="1" applyNumberFormat="1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/>
    </xf>
    <xf numFmtId="0" fontId="70" fillId="0" borderId="3" xfId="0" applyFont="1" applyFill="1" applyBorder="1" applyAlignment="1" applyProtection="1">
      <alignment horizontal="center" vertical="center"/>
      <protection locked="0"/>
    </xf>
    <xf numFmtId="0" fontId="6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center" vertical="center"/>
    </xf>
    <xf numFmtId="0" fontId="66" fillId="0" borderId="13" xfId="0" applyFont="1" applyFill="1" applyBorder="1" applyAlignment="1">
      <alignment horizontal="center"/>
    </xf>
    <xf numFmtId="0" fontId="69" fillId="0" borderId="15" xfId="0" applyFont="1" applyFill="1" applyBorder="1" applyAlignment="1" applyProtection="1">
      <alignment horizontal="center" vertical="center" wrapText="1"/>
      <protection locked="0"/>
    </xf>
    <xf numFmtId="0" fontId="69" fillId="0" borderId="14" xfId="0" applyFont="1" applyFill="1" applyBorder="1" applyAlignment="1" applyProtection="1">
      <alignment horizontal="center" vertical="center" wrapText="1"/>
      <protection locked="0"/>
    </xf>
    <xf numFmtId="0" fontId="69" fillId="0" borderId="16" xfId="0" applyFont="1" applyFill="1" applyBorder="1" applyAlignment="1" applyProtection="1">
      <alignment horizontal="center" vertical="center" wrapText="1"/>
      <protection locked="0"/>
    </xf>
    <xf numFmtId="0" fontId="69" fillId="0" borderId="3" xfId="0" applyFont="1" applyFill="1" applyBorder="1" applyAlignment="1">
      <alignment horizontal="center" vertical="center" wrapText="1"/>
    </xf>
    <xf numFmtId="0" fontId="70" fillId="0" borderId="0" xfId="0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66" fillId="33" borderId="3" xfId="0" applyFont="1" applyFill="1" applyBorder="1" applyAlignment="1">
      <alignment horizontal="left" vertical="center"/>
    </xf>
    <xf numFmtId="0" fontId="66" fillId="34" borderId="3" xfId="0" applyFont="1" applyFill="1" applyBorder="1" applyAlignment="1">
      <alignment horizontal="left" vertical="center" wrapText="1"/>
    </xf>
    <xf numFmtId="0" fontId="66" fillId="0" borderId="3" xfId="0" applyFont="1" applyFill="1" applyBorder="1" applyAlignment="1">
      <alignment horizontal="left" vertical="center" wrapText="1"/>
    </xf>
    <xf numFmtId="0" fontId="73" fillId="0" borderId="0" xfId="0" applyFont="1" applyFill="1" applyBorder="1" applyAlignment="1">
      <alignment horizontal="center"/>
    </xf>
    <xf numFmtId="0" fontId="68" fillId="0" borderId="0" xfId="0" applyFont="1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 wrapText="1"/>
    </xf>
    <xf numFmtId="170" fontId="68" fillId="0" borderId="13" xfId="0" applyNumberFormat="1" applyFont="1" applyFill="1" applyBorder="1" applyAlignment="1">
      <alignment horizontal="center" vertical="center" wrapText="1"/>
    </xf>
    <xf numFmtId="0" fontId="68" fillId="0" borderId="0" xfId="0" applyFont="1" applyFill="1" applyBorder="1" applyAlignment="1">
      <alignment horizontal="left" vertical="center"/>
    </xf>
    <xf numFmtId="0" fontId="66" fillId="0" borderId="3" xfId="0" applyFont="1" applyFill="1" applyBorder="1" applyAlignment="1">
      <alignment horizontal="center" vertical="center"/>
    </xf>
    <xf numFmtId="0" fontId="66" fillId="34" borderId="3" xfId="0" applyFont="1" applyFill="1" applyBorder="1" applyAlignment="1">
      <alignment horizontal="center" vertical="center" wrapText="1"/>
    </xf>
    <xf numFmtId="0" fontId="66" fillId="33" borderId="3" xfId="0" applyFont="1" applyFill="1" applyBorder="1" applyAlignment="1">
      <alignment horizontal="left" vertical="center" wrapText="1"/>
    </xf>
    <xf numFmtId="170" fontId="68" fillId="0" borderId="13" xfId="0" applyNumberFormat="1" applyFont="1" applyFill="1" applyBorder="1" applyAlignment="1">
      <alignment horizontal="left" vertical="center" wrapText="1"/>
    </xf>
    <xf numFmtId="0" fontId="66" fillId="0" borderId="0" xfId="0" applyFont="1" applyFill="1" applyBorder="1" applyAlignment="1">
      <alignment horizontal="center" vertical="center" wrapText="1"/>
    </xf>
    <xf numFmtId="0" fontId="66" fillId="29" borderId="3" xfId="0" applyFont="1" applyFill="1" applyBorder="1" applyAlignment="1">
      <alignment horizontal="center" vertical="center"/>
    </xf>
    <xf numFmtId="170" fontId="68" fillId="29" borderId="13" xfId="0" applyNumberFormat="1" applyFont="1" applyFill="1" applyBorder="1" applyAlignment="1">
      <alignment horizontal="center" vertical="center" wrapText="1"/>
    </xf>
    <xf numFmtId="170" fontId="66" fillId="29" borderId="13" xfId="0" quotePrefix="1" applyNumberFormat="1" applyFont="1" applyFill="1" applyBorder="1" applyAlignment="1">
      <alignment horizontal="center" wrapText="1"/>
    </xf>
    <xf numFmtId="0" fontId="68" fillId="29" borderId="0" xfId="0" applyFont="1" applyFill="1" applyBorder="1" applyAlignment="1">
      <alignment horizontal="left" vertical="center"/>
    </xf>
    <xf numFmtId="0" fontId="68" fillId="29" borderId="0" xfId="0" applyFont="1" applyFill="1" applyBorder="1" applyAlignment="1">
      <alignment horizontal="center" vertical="center"/>
    </xf>
    <xf numFmtId="170" fontId="77" fillId="0" borderId="13" xfId="0" applyNumberFormat="1" applyFont="1" applyFill="1" applyBorder="1" applyAlignment="1">
      <alignment horizontal="left" vertical="center" wrapText="1"/>
    </xf>
    <xf numFmtId="0" fontId="77" fillId="0" borderId="0" xfId="0" applyFont="1" applyFill="1" applyBorder="1" applyAlignment="1">
      <alignment horizontal="left" vertical="center"/>
    </xf>
    <xf numFmtId="0" fontId="75" fillId="0" borderId="0" xfId="0" applyFont="1" applyFill="1" applyBorder="1" applyAlignment="1">
      <alignment horizontal="center" vertical="center" wrapText="1"/>
    </xf>
    <xf numFmtId="0" fontId="89" fillId="0" borderId="0" xfId="0" applyFont="1" applyFill="1" applyBorder="1" applyAlignment="1">
      <alignment horizontal="center"/>
    </xf>
    <xf numFmtId="43" fontId="68" fillId="29" borderId="15" xfId="357" applyFont="1" applyFill="1" applyBorder="1" applyAlignment="1">
      <alignment horizontal="left" vertical="center" wrapText="1"/>
    </xf>
    <xf numFmtId="43" fontId="68" fillId="29" borderId="14" xfId="357" applyFont="1" applyFill="1" applyBorder="1" applyAlignment="1">
      <alignment horizontal="left" vertical="center" wrapText="1"/>
    </xf>
    <xf numFmtId="43" fontId="68" fillId="29" borderId="16" xfId="357" applyFont="1" applyFill="1" applyBorder="1" applyAlignment="1">
      <alignment horizontal="left" vertical="center" wrapText="1"/>
    </xf>
    <xf numFmtId="0" fontId="77" fillId="29" borderId="15" xfId="0" applyFont="1" applyFill="1" applyBorder="1" applyAlignment="1">
      <alignment vertical="center" wrapText="1"/>
    </xf>
    <xf numFmtId="0" fontId="77" fillId="29" borderId="14" xfId="0" applyFont="1" applyFill="1" applyBorder="1" applyAlignment="1">
      <alignment vertical="center" wrapText="1"/>
    </xf>
    <xf numFmtId="0" fontId="77" fillId="29" borderId="16" xfId="0" applyFont="1" applyFill="1" applyBorder="1" applyAlignment="1">
      <alignment vertical="center" wrapText="1"/>
    </xf>
    <xf numFmtId="0" fontId="68" fillId="29" borderId="15" xfId="0" applyFont="1" applyFill="1" applyBorder="1" applyAlignment="1">
      <alignment vertical="center"/>
    </xf>
    <xf numFmtId="0" fontId="68" fillId="29" borderId="14" xfId="0" applyFont="1" applyFill="1" applyBorder="1" applyAlignment="1">
      <alignment vertical="center"/>
    </xf>
    <xf numFmtId="0" fontId="68" fillId="29" borderId="16" xfId="0" applyFont="1" applyFill="1" applyBorder="1" applyAlignment="1">
      <alignment vertical="center"/>
    </xf>
    <xf numFmtId="0" fontId="68" fillId="29" borderId="15" xfId="0" applyFont="1" applyFill="1" applyBorder="1" applyAlignment="1">
      <alignment vertical="center" wrapText="1"/>
    </xf>
    <xf numFmtId="0" fontId="68" fillId="29" borderId="14" xfId="0" applyFont="1" applyFill="1" applyBorder="1" applyAlignment="1">
      <alignment vertical="center" wrapText="1"/>
    </xf>
    <xf numFmtId="0" fontId="68" fillId="29" borderId="16" xfId="0" applyFont="1" applyFill="1" applyBorder="1" applyAlignment="1">
      <alignment vertical="center" wrapText="1"/>
    </xf>
    <xf numFmtId="0" fontId="68" fillId="29" borderId="15" xfId="0" applyFont="1" applyFill="1" applyBorder="1" applyAlignment="1">
      <alignment horizontal="left" vertical="center" wrapText="1"/>
    </xf>
    <xf numFmtId="0" fontId="68" fillId="29" borderId="14" xfId="0" applyFont="1" applyFill="1" applyBorder="1" applyAlignment="1">
      <alignment horizontal="left" vertical="center" wrapText="1"/>
    </xf>
    <xf numFmtId="0" fontId="68" fillId="29" borderId="16" xfId="0" applyFont="1" applyFill="1" applyBorder="1" applyAlignment="1">
      <alignment horizontal="left" vertical="center" wrapText="1"/>
    </xf>
    <xf numFmtId="3" fontId="66" fillId="29" borderId="15" xfId="0" applyNumberFormat="1" applyFont="1" applyFill="1" applyBorder="1" applyAlignment="1">
      <alignment horizontal="left" vertical="center" wrapText="1"/>
    </xf>
    <xf numFmtId="3" fontId="66" fillId="29" borderId="14" xfId="0" applyNumberFormat="1" applyFont="1" applyFill="1" applyBorder="1" applyAlignment="1">
      <alignment horizontal="left" vertical="center" wrapText="1"/>
    </xf>
    <xf numFmtId="0" fontId="74" fillId="29" borderId="0" xfId="0" applyFont="1" applyFill="1" applyAlignment="1">
      <alignment vertical="center" wrapText="1"/>
    </xf>
    <xf numFmtId="0" fontId="94" fillId="29" borderId="0" xfId="0" applyFont="1" applyFill="1" applyAlignment="1">
      <alignment vertical="center" wrapText="1"/>
    </xf>
    <xf numFmtId="0" fontId="66" fillId="29" borderId="13" xfId="0" applyFont="1" applyFill="1" applyBorder="1" applyAlignment="1">
      <alignment wrapText="1"/>
    </xf>
    <xf numFmtId="0" fontId="94" fillId="29" borderId="13" xfId="0" applyFont="1" applyFill="1" applyBorder="1" applyAlignment="1"/>
    <xf numFmtId="0" fontId="68" fillId="29" borderId="0" xfId="0" applyFont="1" applyFill="1" applyBorder="1" applyAlignment="1">
      <alignment horizontal="center"/>
    </xf>
    <xf numFmtId="0" fontId="66" fillId="29" borderId="13" xfId="0" applyFont="1" applyFill="1" applyBorder="1" applyAlignment="1">
      <alignment horizontal="center"/>
    </xf>
    <xf numFmtId="0" fontId="68" fillId="29" borderId="0" xfId="0" applyFont="1" applyFill="1" applyAlignment="1">
      <alignment horizontal="center" vertical="center"/>
    </xf>
    <xf numFmtId="0" fontId="66" fillId="33" borderId="15" xfId="0" applyFont="1" applyFill="1" applyBorder="1" applyAlignment="1">
      <alignment vertical="center" wrapText="1"/>
    </xf>
    <xf numFmtId="0" fontId="66" fillId="33" borderId="14" xfId="0" applyFont="1" applyFill="1" applyBorder="1" applyAlignment="1">
      <alignment vertical="center" wrapText="1"/>
    </xf>
    <xf numFmtId="0" fontId="66" fillId="33" borderId="16" xfId="0" applyFont="1" applyFill="1" applyBorder="1" applyAlignment="1">
      <alignment vertical="center" wrapText="1"/>
    </xf>
    <xf numFmtId="0" fontId="77" fillId="29" borderId="15" xfId="355" applyFont="1" applyFill="1" applyBorder="1" applyAlignment="1">
      <alignment vertical="center" wrapText="1"/>
    </xf>
    <xf numFmtId="0" fontId="77" fillId="29" borderId="14" xfId="355" applyFont="1" applyFill="1" applyBorder="1" applyAlignment="1">
      <alignment vertical="center" wrapText="1"/>
    </xf>
    <xf numFmtId="0" fontId="77" fillId="29" borderId="16" xfId="355" applyFont="1" applyFill="1" applyBorder="1" applyAlignment="1">
      <alignment vertical="center" wrapText="1"/>
    </xf>
    <xf numFmtId="0" fontId="68" fillId="29" borderId="3" xfId="0" applyFont="1" applyFill="1" applyBorder="1" applyAlignment="1">
      <alignment horizontal="center" vertical="center" wrapText="1"/>
    </xf>
    <xf numFmtId="0" fontId="66" fillId="33" borderId="3" xfId="0" applyFont="1" applyFill="1" applyBorder="1" applyAlignment="1">
      <alignment vertical="center" wrapText="1"/>
    </xf>
    <xf numFmtId="0" fontId="68" fillId="29" borderId="3" xfId="0" applyFont="1" applyFill="1" applyBorder="1" applyAlignment="1">
      <alignment vertical="center" wrapText="1"/>
    </xf>
    <xf numFmtId="0" fontId="77" fillId="29" borderId="15" xfId="0" applyFont="1" applyFill="1" applyBorder="1" applyAlignment="1">
      <alignment horizontal="left" vertical="center" wrapText="1"/>
    </xf>
    <xf numFmtId="0" fontId="77" fillId="29" borderId="14" xfId="0" applyFont="1" applyFill="1" applyBorder="1" applyAlignment="1">
      <alignment horizontal="left" vertical="center" wrapText="1"/>
    </xf>
    <xf numFmtId="0" fontId="77" fillId="29" borderId="16" xfId="0" applyFont="1" applyFill="1" applyBorder="1" applyAlignment="1">
      <alignment horizontal="left" vertical="center" wrapText="1"/>
    </xf>
    <xf numFmtId="0" fontId="66" fillId="29" borderId="0" xfId="0" applyFont="1" applyFill="1" applyBorder="1" applyAlignment="1">
      <alignment horizontal="center" vertical="center"/>
    </xf>
    <xf numFmtId="0" fontId="66" fillId="29" borderId="15" xfId="0" applyFont="1" applyFill="1" applyBorder="1" applyAlignment="1">
      <alignment vertical="center" wrapText="1"/>
    </xf>
    <xf numFmtId="0" fontId="66" fillId="29" borderId="14" xfId="0" applyFont="1" applyFill="1" applyBorder="1" applyAlignment="1">
      <alignment vertical="center" wrapText="1"/>
    </xf>
    <xf numFmtId="0" fontId="66" fillId="29" borderId="16" xfId="0" applyFont="1" applyFill="1" applyBorder="1" applyAlignment="1">
      <alignment vertical="center" wrapText="1"/>
    </xf>
  </cellXfs>
  <cellStyles count="376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Гиперссылка" xfId="355" builtinId="8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Звичайний 2" xfId="353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" xfId="358" builtinId="28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19" xfId="354"/>
    <cellStyle name="Обычный 19 2" xfId="373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 3 2" xfId="359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20" xfId="356"/>
    <cellStyle name="Обычный 20 2" xfId="374"/>
    <cellStyle name="Обычный 3" xfId="257"/>
    <cellStyle name="Обычный 3 10" xfId="258"/>
    <cellStyle name="Обычный 3 10 2" xfId="360"/>
    <cellStyle name="Обычный 3 11" xfId="259"/>
    <cellStyle name="Обычный 3 11 2" xfId="361"/>
    <cellStyle name="Обычный 3 12" xfId="260"/>
    <cellStyle name="Обычный 3 12 2" xfId="362"/>
    <cellStyle name="Обычный 3 13" xfId="261"/>
    <cellStyle name="Обычный 3 13 2" xfId="363"/>
    <cellStyle name="Обычный 3 14" xfId="262"/>
    <cellStyle name="Обычный 3 2" xfId="263"/>
    <cellStyle name="Обычный 3 2 2" xfId="364"/>
    <cellStyle name="Обычный 3 3" xfId="264"/>
    <cellStyle name="Обычный 3 3 2" xfId="365"/>
    <cellStyle name="Обычный 3 4" xfId="265"/>
    <cellStyle name="Обычный 3 4 2" xfId="366"/>
    <cellStyle name="Обычный 3 5" xfId="266"/>
    <cellStyle name="Обычный 3 5 2" xfId="367"/>
    <cellStyle name="Обычный 3 6" xfId="267"/>
    <cellStyle name="Обычный 3 6 2" xfId="368"/>
    <cellStyle name="Обычный 3 7" xfId="268"/>
    <cellStyle name="Обычный 3 7 2" xfId="369"/>
    <cellStyle name="Обычный 3 8" xfId="269"/>
    <cellStyle name="Обычный 3 8 2" xfId="370"/>
    <cellStyle name="Обычный 3 9" xfId="270"/>
    <cellStyle name="Обычный 3 9 2" xfId="371"/>
    <cellStyle name="Обычный 3_Дефицит_7 млрд_0608_бс" xfId="271"/>
    <cellStyle name="Обычный 4" xfId="272"/>
    <cellStyle name="Обычный 4 2" xfId="3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" xfId="357" builtinId="3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Фінансовий 2" xfId="375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externalLink" Target="externalLinks/externalLink36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externalLink" Target="externalLinks/externalLink3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opatynskaLM\AppData\Local\Microsoft\Windows\INetCache\Content.Outlook\Z91WHJA2\&#1047;&#1042;&#1030;&#1058;%20&#1079;&#1072;%202024%20&#1088;%20(&#1040;&#1074;&#1090;&#1086;&#1089;&#1086;&#1093;&#1088;&#1072;&#1085;&#1077;&#1085;&#1085;&#1099;&#1081;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  <sheetName val="Лист2"/>
      <sheetName val="ПЛАН ЗАКУПІВЕЛЬ 2018"/>
      <sheetName val="Аркуш2"/>
      <sheetName val="MPPZ"/>
      <sheetName val="адмін_(2)"/>
      <sheetName val="9m"/>
      <sheetName val="Лист3"/>
      <sheetName val="TDSheet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/>
      <sheetData sheetId="11" refreshError="1"/>
      <sheetData sheetId="12" refreshError="1"/>
      <sheetData sheetId="13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зведена_таб"/>
      <sheetName val="попер_роз_(4)"/>
      <sheetName val="звед_оптим_(2)"/>
      <sheetName val="2002"/>
      <sheetName val="2001"/>
      <sheetName val="Ener "/>
      <sheetName val="МТР_Газ_України"/>
      <sheetName val="Current"/>
      <sheetName val="прим. IX. Деб. заб."/>
      <sheetName val="Test"/>
      <sheetName val="statiy"/>
      <sheetName val="pidr"/>
      <sheetName val="Technic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попер_роз"/>
      <sheetName val="база  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  <sheetName val="МТР_Газ_України"/>
      <sheetName val="МТР_все_2"/>
      <sheetName val="база  "/>
      <sheetName val="Links"/>
      <sheetName val="Lead"/>
      <sheetName val="P_SC"/>
      <sheetName val="XLR_NoRangeSheet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МТР_Газ_України"/>
      <sheetName val="Допущения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  <sheetName val="Inform"/>
      <sheetName val="7  Інші витрати"/>
      <sheetName val="МТР_Газ_України"/>
      <sheetName val="Assumptions and Inpu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BGVN1"/>
      <sheetName val="Technical"/>
      <sheetName val="БАЗА  "/>
      <sheetName val="МТР Газ України"/>
      <sheetName val="Daten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i"/>
      <sheetName val="Setup"/>
      <sheetName val="200"/>
      <sheetName val="1993"/>
      <sheetName val="Inform"/>
      <sheetName val="Ener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МТР все - 5"/>
      <sheetName val="Лист1"/>
      <sheetName val="Internal Data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/>
      <sheetData sheetId="34"/>
      <sheetData sheetId="35" refreshError="1"/>
      <sheetData sheetId="3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gdp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  <sheetName val="база  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  <sheetName val="Inform"/>
      <sheetName val="база  "/>
      <sheetName val="МТР_Газ_України"/>
      <sheetName val="assumptions and inputs"/>
      <sheetName val="Cash Flows"/>
      <sheetName val="Terminal Value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  <sheetName val="попер_роз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  <sheetName val="Ener_"/>
      <sheetName val="gdp"/>
      <sheetName val="1993"/>
      <sheetName val="Додаток 3"/>
      <sheetName val="Бюдж. баланс "/>
      <sheetName val="параметри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 refreshError="1"/>
      <sheetData sheetId="28"/>
      <sheetData sheetId="29"/>
      <sheetData sheetId="3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Ener "/>
      <sheetName val="Припущення"/>
      <sheetName val="МТР_Газ_України"/>
      <sheetName val="Осн. фін. пок. 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  <sheetData sheetId="22" refreshError="1"/>
      <sheetData sheetId="2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  <sheetName val="BGVN1"/>
      <sheetName val="д17-1"/>
      <sheetName val="БАЗА__"/>
      <sheetName val="Лист1"/>
      <sheetName val="півріч"/>
      <sheetName val="КурсВалют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Правила ДДС"/>
      <sheetName val="7  інші витрати"/>
      <sheetName val="п"/>
      <sheetName val="1993"/>
      <sheetName val="Assumptions and Inputs"/>
      <sheetName val="Лист1"/>
      <sheetName val="consolidation hq formatted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f-20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  <sheetName val="7  Інші витрати"/>
      <sheetName val="попер_роз"/>
      <sheetName val="скрыть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  <sheetName val="банк"/>
      <sheetName val="дез"/>
      <sheetName val="связь"/>
      <sheetName val="компод"/>
      <sheetName val="пож"/>
      <sheetName val="проезд"/>
      <sheetName val="страх"/>
      <sheetName val="gdp"/>
      <sheetName val="до викупа"/>
      <sheetName val="Лист1"/>
      <sheetName val="Розш. ел. витрат за 9 місяців"/>
      <sheetName val="Рокада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Ener "/>
      <sheetName val="додаток 1"/>
      <sheetName val="база  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  <sheetName val="7  інші витрати"/>
      <sheetName val="МТР Газ України"/>
      <sheetName val="Note2 to do "/>
      <sheetName val="4сд"/>
      <sheetName val="2сд"/>
      <sheetName val="7сд"/>
      <sheetName val="1993"/>
      <sheetName val="Лист2"/>
      <sheetName val="припущення"/>
      <sheetName val="т17мб(шаблон)"/>
      <sheetName val="реестр_заявок1"/>
      <sheetName val="Set"/>
      <sheetName val="додаток  3"/>
      <sheetName val="mt bk"/>
      <sheetName val="Ener "/>
      <sheetName val="рэс п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іт про виконання показ фінпла"/>
      <sheetName val="Розшифровка 1 до Формування"/>
      <sheetName val="Розшифровка 2 до формування"/>
      <sheetName val="Рух грошових коштів  "/>
      <sheetName val="Розшифровка кап"/>
      <sheetName val="Розшифровка за джерелами"/>
    </sheetNames>
    <sheetDataSet>
      <sheetData sheetId="0" refreshError="1"/>
      <sheetData sheetId="1">
        <row r="8">
          <cell r="D8">
            <v>122146.6</v>
          </cell>
        </row>
        <row r="11">
          <cell r="F11">
            <v>18882.900000000001</v>
          </cell>
        </row>
      </sheetData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  <sheetName val="Inform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  <sheetName val="7  інші витрат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  <sheetName val="gdp"/>
      <sheetName val="7  інші витрати"/>
      <sheetName val="Ener "/>
      <sheetName val="assumptions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  <sheetName val="7  інші витрати"/>
      <sheetName val="gdp"/>
      <sheetName val="Assumptions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  <sheetName val="1993"/>
      <sheetName val="comp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  <sheetName val="7  інші витрати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_Структура по елементах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zo.com.ua/tenders/20078403" TargetMode="External"/><Relationship Id="rId2" Type="http://schemas.openxmlformats.org/officeDocument/2006/relationships/hyperlink" Target="https://www.dzo.com.ua/tenders/20078403" TargetMode="External"/><Relationship Id="rId1" Type="http://schemas.openxmlformats.org/officeDocument/2006/relationships/hyperlink" Target="https://www.dzo.com.ua/tenders/20078403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s://www.dzo.com.ua/tenders/20078403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zo.com.ua/tenders/20078403" TargetMode="External"/><Relationship Id="rId2" Type="http://schemas.openxmlformats.org/officeDocument/2006/relationships/hyperlink" Target="https://www.dzo.com.ua/tenders/20078403" TargetMode="External"/><Relationship Id="rId1" Type="http://schemas.openxmlformats.org/officeDocument/2006/relationships/hyperlink" Target="https://www.dzo.com.ua/tenders/20078403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s://www.dzo.com.ua/tenders/20078403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zo.com.ua/tenders/20078403" TargetMode="External"/><Relationship Id="rId2" Type="http://schemas.openxmlformats.org/officeDocument/2006/relationships/hyperlink" Target="https://www.dzo.com.ua/tenders/20078403" TargetMode="External"/><Relationship Id="rId1" Type="http://schemas.openxmlformats.org/officeDocument/2006/relationships/hyperlink" Target="https://www.dzo.com.ua/tenders/20078403" TargetMode="Externa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1:R300"/>
  <sheetViews>
    <sheetView tabSelected="1" view="pageBreakPreview" topLeftCell="A60" zoomScale="75" zoomScaleNormal="75" zoomScaleSheetLayoutView="75" workbookViewId="0">
      <selection activeCell="D68" sqref="D68"/>
    </sheetView>
  </sheetViews>
  <sheetFormatPr defaultRowHeight="20.25"/>
  <cols>
    <col min="1" max="1" width="65.42578125" style="76" customWidth="1"/>
    <col min="2" max="2" width="17.28515625" style="497" customWidth="1"/>
    <col min="3" max="4" width="18" style="497" customWidth="1"/>
    <col min="5" max="5" width="18.7109375" style="76" customWidth="1"/>
    <col min="6" max="6" width="19" style="76" customWidth="1"/>
    <col min="7" max="7" width="18.7109375" style="76" customWidth="1"/>
    <col min="8" max="8" width="19.7109375" style="76" customWidth="1"/>
    <col min="9" max="9" width="22.85546875" style="122" customWidth="1"/>
    <col min="10" max="10" width="18.85546875" style="76" customWidth="1"/>
    <col min="11" max="11" width="17.42578125" style="76" customWidth="1"/>
    <col min="12" max="12" width="13.85546875" style="76" customWidth="1"/>
    <col min="13" max="13" width="17" style="76" customWidth="1"/>
    <col min="14" max="16" width="9.140625" style="76"/>
    <col min="17" max="17" width="11.42578125" style="76" bestFit="1" customWidth="1"/>
    <col min="18" max="18" width="18.5703125" style="76" customWidth="1"/>
    <col min="19" max="16384" width="9.140625" style="76"/>
  </cols>
  <sheetData>
    <row r="1" spans="1:10" ht="111" customHeight="1">
      <c r="A1" s="529" t="s">
        <v>457</v>
      </c>
      <c r="B1" s="528"/>
      <c r="C1" s="528"/>
      <c r="D1" s="528"/>
      <c r="E1" s="528"/>
      <c r="F1" s="528"/>
      <c r="G1" s="528"/>
      <c r="H1" s="528"/>
    </row>
    <row r="2" spans="1:10" ht="30" customHeight="1">
      <c r="A2" s="528" t="s">
        <v>18</v>
      </c>
      <c r="B2" s="528"/>
      <c r="C2" s="528"/>
      <c r="D2" s="528"/>
      <c r="E2" s="528"/>
      <c r="F2" s="528"/>
      <c r="G2" s="528"/>
      <c r="H2" s="528"/>
    </row>
    <row r="3" spans="1:10" ht="23.25" customHeight="1">
      <c r="B3" s="498"/>
      <c r="C3" s="116"/>
      <c r="D3" s="498"/>
      <c r="E3" s="498"/>
      <c r="F3" s="498"/>
      <c r="G3" s="498"/>
      <c r="H3" s="118" t="s">
        <v>56</v>
      </c>
    </row>
    <row r="4" spans="1:10" ht="75.75" customHeight="1">
      <c r="A4" s="522" t="s">
        <v>23</v>
      </c>
      <c r="B4" s="521" t="s">
        <v>5</v>
      </c>
      <c r="C4" s="521" t="s">
        <v>119</v>
      </c>
      <c r="D4" s="521"/>
      <c r="E4" s="522" t="s">
        <v>634</v>
      </c>
      <c r="F4" s="522"/>
      <c r="G4" s="522"/>
      <c r="H4" s="522"/>
    </row>
    <row r="5" spans="1:10" ht="47.25" customHeight="1">
      <c r="A5" s="522"/>
      <c r="B5" s="521"/>
      <c r="C5" s="500" t="s">
        <v>633</v>
      </c>
      <c r="D5" s="500" t="s">
        <v>632</v>
      </c>
      <c r="E5" s="119" t="s">
        <v>105</v>
      </c>
      <c r="F5" s="119" t="s">
        <v>106</v>
      </c>
      <c r="G5" s="119" t="s">
        <v>107</v>
      </c>
      <c r="H5" s="119" t="s">
        <v>108</v>
      </c>
    </row>
    <row r="6" spans="1:10" ht="29.25" customHeight="1">
      <c r="A6" s="501">
        <v>1</v>
      </c>
      <c r="B6" s="500">
        <v>2</v>
      </c>
      <c r="C6" s="500">
        <v>3</v>
      </c>
      <c r="D6" s="500">
        <v>5</v>
      </c>
      <c r="E6" s="500">
        <v>7</v>
      </c>
      <c r="F6" s="500">
        <v>8</v>
      </c>
      <c r="G6" s="500">
        <v>9</v>
      </c>
      <c r="H6" s="500">
        <v>10</v>
      </c>
    </row>
    <row r="7" spans="1:10" ht="33" customHeight="1">
      <c r="A7" s="530" t="s">
        <v>97</v>
      </c>
      <c r="B7" s="530"/>
      <c r="C7" s="530"/>
      <c r="D7" s="530"/>
      <c r="E7" s="530"/>
      <c r="F7" s="530"/>
      <c r="G7" s="530"/>
      <c r="H7" s="530"/>
    </row>
    <row r="8" spans="1:10" ht="48.75" customHeight="1">
      <c r="A8" s="120" t="s">
        <v>120</v>
      </c>
      <c r="B8" s="121">
        <v>1000</v>
      </c>
      <c r="C8" s="74">
        <f>'Розшифровка 1 до Формування'!D7</f>
        <v>123660.1</v>
      </c>
      <c r="D8" s="74">
        <f>F8</f>
        <v>160401.79999999999</v>
      </c>
      <c r="E8" s="74">
        <f>'Розшифровка 1 до Формування'!E7</f>
        <v>137272.9</v>
      </c>
      <c r="F8" s="74">
        <f>'Розшифровка 1 до Формування'!F7</f>
        <v>160401.79999999999</v>
      </c>
      <c r="G8" s="74">
        <f>F8-E8</f>
        <v>23128.899999999994</v>
      </c>
      <c r="H8" s="74">
        <f>(F8/E8)*100</f>
        <v>116.84884634913372</v>
      </c>
      <c r="J8" s="122"/>
    </row>
    <row r="9" spans="1:10" ht="47.25" customHeight="1">
      <c r="A9" s="120" t="s">
        <v>66</v>
      </c>
      <c r="B9" s="121">
        <v>1010</v>
      </c>
      <c r="C9" s="74">
        <f>SUM(C10:C14)</f>
        <v>-134401.70000000001</v>
      </c>
      <c r="D9" s="74">
        <f>SUM(D10:D14)</f>
        <v>-164294.1</v>
      </c>
      <c r="E9" s="74">
        <f>SUM(E10:E14)</f>
        <v>-147553.70000000001</v>
      </c>
      <c r="F9" s="74">
        <f t="shared" ref="F9:F16" si="0">D9</f>
        <v>-164294.1</v>
      </c>
      <c r="G9" s="74">
        <f t="shared" ref="G9:G43" si="1">F9-E9</f>
        <v>-16740.399999999994</v>
      </c>
      <c r="H9" s="74">
        <f t="shared" ref="H9:H43" si="2">(F9/E9)*100</f>
        <v>111.3452932728898</v>
      </c>
      <c r="J9" s="122"/>
    </row>
    <row r="10" spans="1:10" ht="30" customHeight="1">
      <c r="A10" s="123" t="s">
        <v>67</v>
      </c>
      <c r="B10" s="501">
        <v>1011</v>
      </c>
      <c r="C10" s="124">
        <f>-('Розшифровка 2 до формування'!D10+'Розшифровка 2 до формування'!D60+'Розшифровка 2 до формування'!D118+'Розшифровка 2 до формування'!D132+'Розшифровка 2 до формування'!D155+'Розшифровка 2 до формування'!D188+'Розшифровка 2 до формування'!D215)</f>
        <v>-29750.6</v>
      </c>
      <c r="D10" s="124">
        <f>F10</f>
        <v>-31358.799999999999</v>
      </c>
      <c r="E10" s="124">
        <f>-('Розшифровка 2 до формування'!E10+'Розшифровка 2 до формування'!E60+'Розшифровка 2 до формування'!E118+'Розшифровка 2 до формування'!E132+'Розшифровка 2 до формування'!E155+'Розшифровка 2 до формування'!E188+'Розшифровка 2 до формування'!E215)</f>
        <v>-25099</v>
      </c>
      <c r="F10" s="74">
        <f>-('Розшифровка 2 до формування'!F10+'Розшифровка 2 до формування'!F60+'Розшифровка 2 до формування'!F118+'Розшифровка 2 до формування'!F132+'Розшифровка 2 до формування'!F155+'Розшифровка 2 до формування'!F188+'Розшифровка 2 до формування'!F215)</f>
        <v>-31358.799999999999</v>
      </c>
      <c r="G10" s="124">
        <f t="shared" si="1"/>
        <v>-6259.7999999999993</v>
      </c>
      <c r="H10" s="124">
        <f t="shared" si="2"/>
        <v>124.94043587393919</v>
      </c>
      <c r="J10" s="122"/>
    </row>
    <row r="11" spans="1:10" ht="28.5" customHeight="1">
      <c r="A11" s="123" t="s">
        <v>2</v>
      </c>
      <c r="B11" s="501">
        <v>1012</v>
      </c>
      <c r="C11" s="124">
        <f>-('Розшифровка 2 до формування'!D16+'Розшифровка 2 до формування'!D66)</f>
        <v>-69877.600000000006</v>
      </c>
      <c r="D11" s="124">
        <f t="shared" ref="D11:D14" si="3">F11</f>
        <v>-91011.200000000012</v>
      </c>
      <c r="E11" s="124">
        <f>-('Розшифровка 2 до формування'!E16+'Розшифровка 2 до формування'!E66)</f>
        <v>-82964.2</v>
      </c>
      <c r="F11" s="74">
        <f>-('Розшифровка 2 до формування'!F16+'Розшифровка 2 до формування'!F66)</f>
        <v>-91011.200000000012</v>
      </c>
      <c r="G11" s="124">
        <f t="shared" ref="G11:G14" si="4">F11-E11</f>
        <v>-8047.0000000000146</v>
      </c>
      <c r="H11" s="124">
        <f t="shared" ref="H11:H14" si="5">(F11/E11)*100</f>
        <v>109.69936430412154</v>
      </c>
      <c r="J11" s="122"/>
    </row>
    <row r="12" spans="1:10" ht="29.25" customHeight="1">
      <c r="A12" s="123" t="s">
        <v>3</v>
      </c>
      <c r="B12" s="501">
        <v>1013</v>
      </c>
      <c r="C12" s="124">
        <f>-('Розшифровка 2 до формування'!D17+'Розшифровка 2 до формування'!D67)</f>
        <v>-14810.6</v>
      </c>
      <c r="D12" s="124">
        <f t="shared" si="3"/>
        <v>-18999.5</v>
      </c>
      <c r="E12" s="124">
        <f>-('Розшифровка 2 до формування'!E17+'Розшифровка 2 до формування'!E67)</f>
        <v>-18086.8</v>
      </c>
      <c r="F12" s="74">
        <f>-('Розшифровка 2 до формування'!F17+'Розшифровка 2 до формування'!F67)</f>
        <v>-18999.5</v>
      </c>
      <c r="G12" s="124">
        <f t="shared" si="4"/>
        <v>-912.70000000000073</v>
      </c>
      <c r="H12" s="124">
        <f t="shared" si="5"/>
        <v>105.04622155384038</v>
      </c>
      <c r="J12" s="122"/>
    </row>
    <row r="13" spans="1:10" ht="29.25" customHeight="1">
      <c r="A13" s="123" t="s">
        <v>4</v>
      </c>
      <c r="B13" s="501">
        <v>1014</v>
      </c>
      <c r="C13" s="124">
        <f>-('Розшифровка 2 до формування'!D18+'Розшифровка 2 до формування'!D68+'Розшифровка 2 до формування'!D194+'Розшифровка 2 до формування'!D220+'Розшифровка 2 до формування'!D254)</f>
        <v>-6378.7</v>
      </c>
      <c r="D13" s="124">
        <f t="shared" si="3"/>
        <v>-6556.9000000000005</v>
      </c>
      <c r="E13" s="124">
        <f>-('Розшифровка 2 до формування'!E18+'Розшифровка 2 до формування'!E68+'Розшифровка 2 до формування'!E194+'Розшифровка 2 до формування'!E220+'Розшифровка 2 до формування'!E254)</f>
        <v>-4280</v>
      </c>
      <c r="F13" s="74">
        <f>-('Розшифровка 2 до формування'!F18+'Розшифровка 2 до формування'!F68+'Розшифровка 2 до формування'!F194+'Розшифровка 2 до формування'!F220+'Розшифровка 2 до формування'!F254)</f>
        <v>-6556.9000000000005</v>
      </c>
      <c r="G13" s="124">
        <f t="shared" si="4"/>
        <v>-2276.9000000000005</v>
      </c>
      <c r="H13" s="124">
        <f t="shared" si="5"/>
        <v>153.19859813084113</v>
      </c>
      <c r="J13" s="122"/>
    </row>
    <row r="14" spans="1:10" ht="30" customHeight="1">
      <c r="A14" s="123" t="s">
        <v>49</v>
      </c>
      <c r="B14" s="501">
        <v>1015</v>
      </c>
      <c r="C14" s="124">
        <f>-('Розшифровка 2 до формування'!D19+'Розшифровка 2 до формування'!D69+'Розшифровка 2 до формування'!D120+'Розшифровка 2 до формування'!D136+'Розшифровка 2 до формування'!D170+'Розшифровка 2 до формування'!D195+'Розшифровка 2 до формування'!D221)</f>
        <v>-13584.200000000003</v>
      </c>
      <c r="D14" s="124">
        <f t="shared" si="3"/>
        <v>-16367.699999999999</v>
      </c>
      <c r="E14" s="124">
        <f>-('Розшифровка 2 до формування'!E19+'Розшифровка 2 до формування'!E69+'Розшифровка 2 до формування'!E120+'Розшифровка 2 до формування'!E136+'Розшифровка 2 до формування'!E170+'Розшифровка 2 до формування'!E195+'Розшифровка 2 до формування'!E221)</f>
        <v>-17123.699999999997</v>
      </c>
      <c r="F14" s="74">
        <f>-('Розшифровка 2 до формування'!F19+'Розшифровка 2 до формування'!F69+'Розшифровка 2 до формування'!F120+'Розшифровка 2 до формування'!F136+'Розшифровка 2 до формування'!F170+'Розшифровка 2 до формування'!F195+'Розшифровка 2 до формування'!F221)</f>
        <v>-16367.699999999999</v>
      </c>
      <c r="G14" s="124">
        <f t="shared" si="4"/>
        <v>755.99999999999818</v>
      </c>
      <c r="H14" s="124">
        <f t="shared" si="5"/>
        <v>95.585066311603228</v>
      </c>
      <c r="J14" s="122"/>
    </row>
    <row r="15" spans="1:10" ht="28.5" customHeight="1">
      <c r="A15" s="120" t="s">
        <v>25</v>
      </c>
      <c r="B15" s="501">
        <v>1020</v>
      </c>
      <c r="C15" s="74">
        <f>SUM(C8:C9)</f>
        <v>-10741.600000000006</v>
      </c>
      <c r="D15" s="74">
        <f>SUM(D8:D9)</f>
        <v>-3892.3000000000175</v>
      </c>
      <c r="E15" s="74">
        <f>SUM(E8:E9)</f>
        <v>-10280.800000000017</v>
      </c>
      <c r="F15" s="74">
        <f t="shared" si="0"/>
        <v>-3892.3000000000175</v>
      </c>
      <c r="G15" s="74">
        <f t="shared" si="1"/>
        <v>6388.5</v>
      </c>
      <c r="H15" s="74">
        <f t="shared" si="2"/>
        <v>37.859894171659896</v>
      </c>
    </row>
    <row r="16" spans="1:10" ht="42" customHeight="1">
      <c r="A16" s="120" t="s">
        <v>88</v>
      </c>
      <c r="B16" s="121">
        <v>1020</v>
      </c>
      <c r="C16" s="74">
        <f>SUM(C17:C21)</f>
        <v>-7994.9999999999982</v>
      </c>
      <c r="D16" s="74">
        <f>SUM(D17:D21)</f>
        <v>-13478.6</v>
      </c>
      <c r="E16" s="74">
        <f>SUM(E17:E21)</f>
        <v>-11833.9</v>
      </c>
      <c r="F16" s="74">
        <f t="shared" si="0"/>
        <v>-13478.6</v>
      </c>
      <c r="G16" s="74">
        <f t="shared" si="1"/>
        <v>-1644.7000000000007</v>
      </c>
      <c r="H16" s="74">
        <f t="shared" si="2"/>
        <v>113.89820769146266</v>
      </c>
    </row>
    <row r="17" spans="1:8" ht="27.75" customHeight="1">
      <c r="A17" s="123" t="s">
        <v>67</v>
      </c>
      <c r="B17" s="501">
        <v>1021</v>
      </c>
      <c r="C17" s="124">
        <f>-('Розшифровка 2 до формування'!D39+'Розшифровка 2 до формування'!D93+'Розшифровка 2 до формування'!D145+'Розшифровка 2 до формування'!D207+'Розшифровка 2 до формування'!D233)</f>
        <v>-113.4</v>
      </c>
      <c r="D17" s="124">
        <f>F17</f>
        <v>-61.4</v>
      </c>
      <c r="E17" s="124">
        <f>-('Розшифровка 2 до формування'!E39+'Розшифровка 2 до формування'!E93+'Розшифровка 2 до формування'!E145+'Розшифровка 2 до формування'!E207+'Розшифровка 2 до формування'!E233)</f>
        <v>-15</v>
      </c>
      <c r="F17" s="74">
        <f>-('Розшифровка 2 до формування'!F39+'Розшифровка 2 до формування'!F93+'Розшифровка 2 до формування'!F145+'Розшифровка 2 до формування'!F207+'Розшифровка 2 до формування'!F233)</f>
        <v>-61.4</v>
      </c>
      <c r="G17" s="124">
        <f t="shared" si="1"/>
        <v>-46.4</v>
      </c>
      <c r="H17" s="124">
        <f t="shared" si="2"/>
        <v>409.33333333333326</v>
      </c>
    </row>
    <row r="18" spans="1:8" ht="27.75" customHeight="1">
      <c r="A18" s="123" t="s">
        <v>2</v>
      </c>
      <c r="B18" s="501">
        <v>1022</v>
      </c>
      <c r="C18" s="124">
        <f>-('Розшифровка 2 до формування'!D43)</f>
        <v>-5198.8999999999996</v>
      </c>
      <c r="D18" s="124">
        <f>F18</f>
        <v>-6429.5</v>
      </c>
      <c r="E18" s="124">
        <f>-('Розшифровка 2 до формування'!E43)</f>
        <v>-8680.6</v>
      </c>
      <c r="F18" s="74">
        <f>-('Розшифровка 2 до формування'!F43)</f>
        <v>-6429.5</v>
      </c>
      <c r="G18" s="124">
        <f t="shared" si="1"/>
        <v>2251.1000000000004</v>
      </c>
      <c r="H18" s="124">
        <f t="shared" si="2"/>
        <v>74.067460774600832</v>
      </c>
    </row>
    <row r="19" spans="1:8" ht="27.75" customHeight="1">
      <c r="A19" s="123" t="s">
        <v>3</v>
      </c>
      <c r="B19" s="501">
        <v>1023</v>
      </c>
      <c r="C19" s="124">
        <f>-('Розшифровка 2 до формування'!D44)</f>
        <v>-1071.9000000000001</v>
      </c>
      <c r="D19" s="124">
        <f t="shared" ref="D19:D21" si="6">F19</f>
        <v>-1374.2</v>
      </c>
      <c r="E19" s="124">
        <f>-('Розшифровка 2 до формування'!E44)</f>
        <v>-1892.4</v>
      </c>
      <c r="F19" s="74">
        <f>-('Розшифровка 2 до формування'!F44)</f>
        <v>-1374.2</v>
      </c>
      <c r="G19" s="124">
        <f t="shared" si="1"/>
        <v>518.20000000000005</v>
      </c>
      <c r="H19" s="124">
        <f t="shared" si="2"/>
        <v>72.616782921158318</v>
      </c>
    </row>
    <row r="20" spans="1:8" ht="27.75" customHeight="1">
      <c r="A20" s="123" t="s">
        <v>4</v>
      </c>
      <c r="B20" s="501">
        <v>1024</v>
      </c>
      <c r="C20" s="124">
        <f>-('Розшифровка 2 до формування'!D257)</f>
        <v>-475.4</v>
      </c>
      <c r="D20" s="124">
        <f t="shared" si="6"/>
        <v>-4230.8</v>
      </c>
      <c r="E20" s="124">
        <f>-('Розшифровка 2 до формування'!E257)</f>
        <v>-236</v>
      </c>
      <c r="F20" s="74">
        <f>-('Розшифровка 2 до формування'!F257)</f>
        <v>-4230.8</v>
      </c>
      <c r="G20" s="125">
        <f t="shared" si="1"/>
        <v>-3994.8</v>
      </c>
      <c r="H20" s="125">
        <f t="shared" si="2"/>
        <v>1792.7118644067796</v>
      </c>
    </row>
    <row r="21" spans="1:8" ht="27.75" customHeight="1">
      <c r="A21" s="123" t="s">
        <v>68</v>
      </c>
      <c r="B21" s="501">
        <v>1025</v>
      </c>
      <c r="C21" s="124">
        <f>-('Розшифровка 2 до формування'!D45+'Розшифровка 2 до формування'!D97+'Розшифровка 2 до формування'!D124+'Розшифровка 2 до формування'!D147+'Розшифровка 2 до формування'!D177+'Розшифровка 2 до формування'!D210+'Розшифровка 2 до формування'!D236)</f>
        <v>-1135.4000000000001</v>
      </c>
      <c r="D21" s="124">
        <f t="shared" si="6"/>
        <v>-1382.7</v>
      </c>
      <c r="E21" s="124">
        <f>-('Розшифровка 2 до формування'!E45+'Розшифровка 2 до формування'!E97+'Розшифровка 2 до формування'!E124+'Розшифровка 2 до формування'!E147+'Розшифровка 2 до формування'!E177+'Розшифровка 2 до формування'!E210+'Розшифровка 2 до формування'!E236)</f>
        <v>-1009.9</v>
      </c>
      <c r="F21" s="74">
        <f>-('Розшифровка 2 до формування'!F45+'Розшифровка 2 до формування'!F97+'Розшифровка 2 до формування'!F124+'Розшифровка 2 до формування'!F147+'Розшифровка 2 до формування'!F177+'Розшифровка 2 до формування'!F210+'Розшифровка 2 до формування'!F236)</f>
        <v>-1382.7</v>
      </c>
      <c r="G21" s="124">
        <f t="shared" si="1"/>
        <v>-372.80000000000007</v>
      </c>
      <c r="H21" s="124">
        <f t="shared" si="2"/>
        <v>136.91454599465294</v>
      </c>
    </row>
    <row r="22" spans="1:8" ht="38.25" customHeight="1">
      <c r="A22" s="120" t="s">
        <v>35</v>
      </c>
      <c r="B22" s="121">
        <v>1040</v>
      </c>
      <c r="C22" s="74">
        <f>SUM(C23:C24)</f>
        <v>29464.400000000001</v>
      </c>
      <c r="D22" s="74">
        <f>SUM(D23:D24)</f>
        <v>25593.9</v>
      </c>
      <c r="E22" s="74">
        <f>SUM(E23:E24)</f>
        <v>17179.7</v>
      </c>
      <c r="F22" s="74">
        <f t="shared" ref="F22:F43" si="7">D22</f>
        <v>25593.9</v>
      </c>
      <c r="G22" s="74">
        <f t="shared" si="1"/>
        <v>8414.2000000000007</v>
      </c>
      <c r="H22" s="74">
        <f t="shared" si="2"/>
        <v>148.9775723673871</v>
      </c>
    </row>
    <row r="23" spans="1:8" ht="30.75" customHeight="1">
      <c r="A23" s="123" t="s">
        <v>36</v>
      </c>
      <c r="B23" s="501">
        <v>1041</v>
      </c>
      <c r="C23" s="124"/>
      <c r="D23" s="124"/>
      <c r="E23" s="124"/>
      <c r="F23" s="74">
        <f t="shared" si="7"/>
        <v>0</v>
      </c>
      <c r="G23" s="124">
        <f t="shared" si="1"/>
        <v>0</v>
      </c>
      <c r="H23" s="125" t="e">
        <f t="shared" si="2"/>
        <v>#DIV/0!</v>
      </c>
    </row>
    <row r="24" spans="1:8" ht="27.75" customHeight="1">
      <c r="A24" s="123" t="s">
        <v>37</v>
      </c>
      <c r="B24" s="501">
        <v>1042</v>
      </c>
      <c r="C24" s="124">
        <f>'Розшифровка 1 до Формування'!D10</f>
        <v>29464.400000000001</v>
      </c>
      <c r="D24" s="124">
        <f>F24</f>
        <v>25593.9</v>
      </c>
      <c r="E24" s="124">
        <f>'Розшифровка 1 до Формування'!E10</f>
        <v>17179.7</v>
      </c>
      <c r="F24" s="74">
        <f>'Розшифровка 1 до Формування'!F10</f>
        <v>25593.9</v>
      </c>
      <c r="G24" s="124">
        <f t="shared" si="1"/>
        <v>8414.2000000000007</v>
      </c>
      <c r="H24" s="124">
        <f t="shared" si="2"/>
        <v>148.9775723673871</v>
      </c>
    </row>
    <row r="25" spans="1:8" ht="42.75" customHeight="1">
      <c r="A25" s="120" t="s">
        <v>12</v>
      </c>
      <c r="B25" s="121">
        <v>1030</v>
      </c>
      <c r="C25" s="74">
        <f>SUM(C26:C30)</f>
        <v>-1905.5</v>
      </c>
      <c r="D25" s="74">
        <f>SUM(D26:D30)</f>
        <v>-1845.6</v>
      </c>
      <c r="E25" s="74">
        <f>SUM(E26:E30)</f>
        <v>-281</v>
      </c>
      <c r="F25" s="74">
        <f t="shared" si="7"/>
        <v>-1845.6</v>
      </c>
      <c r="G25" s="74">
        <f t="shared" si="1"/>
        <v>-1564.6</v>
      </c>
      <c r="H25" s="74">
        <f t="shared" si="2"/>
        <v>656.79715302491104</v>
      </c>
    </row>
    <row r="26" spans="1:8" ht="27.75" customHeight="1">
      <c r="A26" s="123" t="s">
        <v>67</v>
      </c>
      <c r="B26" s="501">
        <v>1031</v>
      </c>
      <c r="C26" s="124"/>
      <c r="D26" s="124">
        <v>0</v>
      </c>
      <c r="E26" s="124"/>
      <c r="F26" s="74">
        <f t="shared" si="7"/>
        <v>0</v>
      </c>
      <c r="G26" s="125">
        <f t="shared" si="1"/>
        <v>0</v>
      </c>
      <c r="H26" s="125" t="e">
        <f t="shared" si="2"/>
        <v>#DIV/0!</v>
      </c>
    </row>
    <row r="27" spans="1:8" ht="27.75" customHeight="1">
      <c r="A27" s="123" t="s">
        <v>2</v>
      </c>
      <c r="B27" s="501">
        <v>1032</v>
      </c>
      <c r="C27" s="124">
        <f>-('Розшифровка 2 до формування'!D53)</f>
        <v>-1306.4000000000001</v>
      </c>
      <c r="D27" s="124">
        <f>F27</f>
        <v>-1091.8</v>
      </c>
      <c r="E27" s="124">
        <f>-('Розшифровка 2 до формування'!E53)</f>
        <v>0</v>
      </c>
      <c r="F27" s="74">
        <f>-('Розшифровка 2 до формування'!F53)</f>
        <v>-1091.8</v>
      </c>
      <c r="G27" s="125">
        <f t="shared" si="1"/>
        <v>-1091.8</v>
      </c>
      <c r="H27" s="125" t="e">
        <f t="shared" si="2"/>
        <v>#DIV/0!</v>
      </c>
    </row>
    <row r="28" spans="1:8" ht="27.75" customHeight="1">
      <c r="A28" s="123" t="s">
        <v>3</v>
      </c>
      <c r="B28" s="501">
        <v>1033</v>
      </c>
      <c r="C28" s="124">
        <f>-('Розшифровка 2 до формування'!D54)</f>
        <v>-336.1</v>
      </c>
      <c r="D28" s="124">
        <f>F28</f>
        <v>-411.9</v>
      </c>
      <c r="E28" s="124">
        <f>-('Розшифровка 2 до формування'!E54)</f>
        <v>0</v>
      </c>
      <c r="F28" s="74">
        <f>-('Розшифровка 2 до формування'!F54)</f>
        <v>-411.9</v>
      </c>
      <c r="G28" s="125">
        <f t="shared" si="1"/>
        <v>-411.9</v>
      </c>
      <c r="H28" s="125" t="e">
        <f t="shared" si="2"/>
        <v>#DIV/0!</v>
      </c>
    </row>
    <row r="29" spans="1:8" ht="27.75" customHeight="1">
      <c r="A29" s="123" t="s">
        <v>4</v>
      </c>
      <c r="B29" s="501">
        <v>1034</v>
      </c>
      <c r="C29" s="124"/>
      <c r="D29" s="124"/>
      <c r="E29" s="124"/>
      <c r="F29" s="74">
        <f t="shared" si="7"/>
        <v>0</v>
      </c>
      <c r="G29" s="125">
        <f t="shared" si="1"/>
        <v>0</v>
      </c>
      <c r="H29" s="125" t="e">
        <f t="shared" si="2"/>
        <v>#DIV/0!</v>
      </c>
    </row>
    <row r="30" spans="1:8" ht="27.75" customHeight="1">
      <c r="A30" s="123" t="s">
        <v>69</v>
      </c>
      <c r="B30" s="501">
        <v>1035</v>
      </c>
      <c r="C30" s="124">
        <f>-('Розшифровка 2 до формування'!D55+'Розшифровка 2 до формування'!D110+'Розшифровка 2 до формування'!D163+'Розшифровка 2 до формування'!D183+'Розшифровка 2 до формування'!D248)</f>
        <v>-263</v>
      </c>
      <c r="D30" s="124">
        <f>F30</f>
        <v>-341.9</v>
      </c>
      <c r="E30" s="124">
        <f>-('Розшифровка 2 до формування'!E55+'Розшифровка 2 до формування'!E110+'Розшифровка 2 до формування'!E163+'Розшифровка 2 до формування'!E183+'Розшифровка 2 до формування'!E248)</f>
        <v>-281</v>
      </c>
      <c r="F30" s="74">
        <f>-('Розшифровка 2 до формування'!F55+'Розшифровка 2 до формування'!F110+'Розшифровка 2 до формування'!F163+'Розшифровка 2 до формування'!F183+'Розшифровка 2 до формування'!F248)</f>
        <v>-341.9</v>
      </c>
      <c r="G30" s="124">
        <f t="shared" si="1"/>
        <v>-60.899999999999977</v>
      </c>
      <c r="H30" s="124">
        <f t="shared" si="2"/>
        <v>121.67259786476868</v>
      </c>
    </row>
    <row r="31" spans="1:8" ht="47.25" customHeight="1">
      <c r="A31" s="120" t="s">
        <v>1</v>
      </c>
      <c r="B31" s="501">
        <v>1100</v>
      </c>
      <c r="C31" s="74">
        <f>SUM(C15,C16,C22,C25)</f>
        <v>8822.2999999999956</v>
      </c>
      <c r="D31" s="74">
        <f>SUM(D15,D16,D22,D25)</f>
        <v>6377.3999999999851</v>
      </c>
      <c r="E31" s="74">
        <f>SUM(E15,E16,E22,E25)</f>
        <v>-5216.0000000000182</v>
      </c>
      <c r="F31" s="74">
        <f t="shared" si="7"/>
        <v>6377.3999999999851</v>
      </c>
      <c r="G31" s="74">
        <f t="shared" si="1"/>
        <v>11593.400000000003</v>
      </c>
      <c r="H31" s="74">
        <f t="shared" si="2"/>
        <v>-122.26610429447781</v>
      </c>
    </row>
    <row r="32" spans="1:8" ht="27.75" customHeight="1">
      <c r="A32" s="120" t="s">
        <v>121</v>
      </c>
      <c r="B32" s="121">
        <v>1130</v>
      </c>
      <c r="C32" s="74">
        <f>'Розшифровка 1 до Формування'!D17</f>
        <v>281.39999999999998</v>
      </c>
      <c r="D32" s="74">
        <f>F32</f>
        <v>2103.9</v>
      </c>
      <c r="E32" s="74">
        <f>'Розшифровка 1 до Формування'!E17</f>
        <v>700</v>
      </c>
      <c r="F32" s="74">
        <f>'Розшифровка 1 до Формування'!F17</f>
        <v>2103.9</v>
      </c>
      <c r="G32" s="74">
        <f t="shared" si="1"/>
        <v>1403.9</v>
      </c>
      <c r="H32" s="74">
        <f t="shared" si="2"/>
        <v>300.55714285714288</v>
      </c>
    </row>
    <row r="33" spans="1:11" ht="27.75" customHeight="1">
      <c r="A33" s="126" t="s">
        <v>122</v>
      </c>
      <c r="B33" s="121">
        <v>1140</v>
      </c>
      <c r="C33" s="74" t="s">
        <v>26</v>
      </c>
      <c r="D33" s="74" t="s">
        <v>26</v>
      </c>
      <c r="E33" s="124" t="s">
        <v>26</v>
      </c>
      <c r="F33" s="74" t="str">
        <f t="shared" si="7"/>
        <v>(    )</v>
      </c>
      <c r="G33" s="127" t="e">
        <f t="shared" si="1"/>
        <v>#VALUE!</v>
      </c>
      <c r="H33" s="127" t="e">
        <f t="shared" si="2"/>
        <v>#VALUE!</v>
      </c>
    </row>
    <row r="34" spans="1:11" ht="27.75" customHeight="1">
      <c r="A34" s="120" t="s">
        <v>123</v>
      </c>
      <c r="B34" s="121">
        <v>1150</v>
      </c>
      <c r="C34" s="74">
        <f>'Розшифровка 1 до Формування'!D19</f>
        <v>6179.8</v>
      </c>
      <c r="D34" s="74">
        <f>F34</f>
        <v>9952</v>
      </c>
      <c r="E34" s="74">
        <f>'Розшифровка 1 до Формування'!E19</f>
        <v>4516</v>
      </c>
      <c r="F34" s="74">
        <f>'Розшифровка 1 до Формування'!F19</f>
        <v>9952</v>
      </c>
      <c r="G34" s="74">
        <f t="shared" si="1"/>
        <v>5436</v>
      </c>
      <c r="H34" s="74">
        <f t="shared" si="2"/>
        <v>220.37201062887513</v>
      </c>
    </row>
    <row r="35" spans="1:11" ht="27.75" customHeight="1">
      <c r="A35" s="120" t="s">
        <v>124</v>
      </c>
      <c r="B35" s="121">
        <v>1160</v>
      </c>
      <c r="C35" s="74" t="s">
        <v>26</v>
      </c>
      <c r="D35" s="74" t="s">
        <v>26</v>
      </c>
      <c r="E35" s="124" t="s">
        <v>26</v>
      </c>
      <c r="F35" s="74" t="str">
        <f t="shared" si="7"/>
        <v>(    )</v>
      </c>
      <c r="G35" s="127" t="e">
        <f t="shared" si="1"/>
        <v>#VALUE!</v>
      </c>
      <c r="H35" s="127" t="e">
        <f t="shared" si="2"/>
        <v>#VALUE!</v>
      </c>
    </row>
    <row r="36" spans="1:11" ht="28.5" customHeight="1">
      <c r="A36" s="120" t="s">
        <v>15</v>
      </c>
      <c r="B36" s="121">
        <v>1170</v>
      </c>
      <c r="C36" s="74">
        <f>SUM(C31, C32:C35)</f>
        <v>15283.499999999996</v>
      </c>
      <c r="D36" s="74">
        <f>SUM(D31, D32:D35)</f>
        <v>18433.299999999985</v>
      </c>
      <c r="E36" s="74">
        <f>SUM(E31, E32:E35)</f>
        <v>-1.8189894035458565E-11</v>
      </c>
      <c r="F36" s="74">
        <f t="shared" si="7"/>
        <v>18433.299999999985</v>
      </c>
      <c r="G36" s="74">
        <f t="shared" si="1"/>
        <v>18433.300000000003</v>
      </c>
      <c r="H36" s="127">
        <f t="shared" si="2"/>
        <v>-1.0133813844141662E+17</v>
      </c>
    </row>
    <row r="37" spans="1:11" ht="27.75" customHeight="1">
      <c r="A37" s="126" t="s">
        <v>28</v>
      </c>
      <c r="B37" s="501">
        <v>1180</v>
      </c>
      <c r="C37" s="124" t="s">
        <v>26</v>
      </c>
      <c r="D37" s="124" t="s">
        <v>26</v>
      </c>
      <c r="E37" s="124" t="s">
        <v>26</v>
      </c>
      <c r="F37" s="74" t="str">
        <f t="shared" si="7"/>
        <v>(    )</v>
      </c>
      <c r="G37" s="125" t="e">
        <f t="shared" si="1"/>
        <v>#VALUE!</v>
      </c>
      <c r="H37" s="125" t="e">
        <f t="shared" si="2"/>
        <v>#VALUE!</v>
      </c>
    </row>
    <row r="38" spans="1:11" ht="27" customHeight="1">
      <c r="A38" s="126" t="s">
        <v>29</v>
      </c>
      <c r="B38" s="501">
        <v>1181</v>
      </c>
      <c r="C38" s="124"/>
      <c r="D38" s="124"/>
      <c r="E38" s="124"/>
      <c r="F38" s="74">
        <f>D38</f>
        <v>0</v>
      </c>
      <c r="G38" s="127">
        <f t="shared" si="1"/>
        <v>0</v>
      </c>
      <c r="H38" s="125" t="e">
        <f t="shared" si="2"/>
        <v>#DIV/0!</v>
      </c>
    </row>
    <row r="39" spans="1:11" ht="28.5" customHeight="1">
      <c r="A39" s="120" t="s">
        <v>45</v>
      </c>
      <c r="B39" s="501">
        <v>1200</v>
      </c>
      <c r="C39" s="74">
        <v>15283.5</v>
      </c>
      <c r="D39" s="74">
        <f>SUM(D36:D38)</f>
        <v>18433.299999999985</v>
      </c>
      <c r="E39" s="74">
        <f>SUM(E36:E38)</f>
        <v>-1.8189894035458565E-11</v>
      </c>
      <c r="F39" s="74">
        <f t="shared" si="7"/>
        <v>18433.299999999985</v>
      </c>
      <c r="G39" s="74">
        <f t="shared" si="1"/>
        <v>18433.300000000003</v>
      </c>
      <c r="H39" s="127">
        <f t="shared" si="2"/>
        <v>-1.0133813844141662E+17</v>
      </c>
    </row>
    <row r="40" spans="1:11" ht="35.25" customHeight="1">
      <c r="A40" s="126" t="s">
        <v>46</v>
      </c>
      <c r="B40" s="501">
        <v>1201</v>
      </c>
      <c r="C40" s="124"/>
      <c r="D40" s="124"/>
      <c r="E40" s="124"/>
      <c r="F40" s="74">
        <f t="shared" si="7"/>
        <v>0</v>
      </c>
      <c r="G40" s="125">
        <f t="shared" si="1"/>
        <v>0</v>
      </c>
      <c r="H40" s="125" t="e">
        <f t="shared" si="2"/>
        <v>#DIV/0!</v>
      </c>
    </row>
    <row r="41" spans="1:11" ht="33" customHeight="1">
      <c r="A41" s="126" t="s">
        <v>47</v>
      </c>
      <c r="B41" s="501">
        <v>1202</v>
      </c>
      <c r="C41" s="124"/>
      <c r="D41" s="124" t="s">
        <v>26</v>
      </c>
      <c r="E41" s="124" t="s">
        <v>26</v>
      </c>
      <c r="F41" s="74" t="str">
        <f>D41</f>
        <v>(    )</v>
      </c>
      <c r="G41" s="125" t="e">
        <f t="shared" si="1"/>
        <v>#VALUE!</v>
      </c>
      <c r="H41" s="125" t="e">
        <f t="shared" si="2"/>
        <v>#VALUE!</v>
      </c>
      <c r="J41" s="128"/>
    </row>
    <row r="42" spans="1:11" ht="33" customHeight="1">
      <c r="A42" s="120" t="s">
        <v>114</v>
      </c>
      <c r="B42" s="121">
        <v>1210</v>
      </c>
      <c r="C42" s="74">
        <f>SUM(C8,C22,C32,C34,C38)</f>
        <v>159585.69999999998</v>
      </c>
      <c r="D42" s="74">
        <f>SUM(D8,D22,D32,D34,D38)</f>
        <v>198051.59999999998</v>
      </c>
      <c r="E42" s="74">
        <f>SUM(E8,E22,E32,E34,E38)</f>
        <v>159668.6</v>
      </c>
      <c r="F42" s="74">
        <f t="shared" si="7"/>
        <v>198051.59999999998</v>
      </c>
      <c r="G42" s="74">
        <f t="shared" si="1"/>
        <v>38382.999999999971</v>
      </c>
      <c r="H42" s="74">
        <f t="shared" si="2"/>
        <v>124.0391661228319</v>
      </c>
      <c r="J42" s="128"/>
      <c r="K42" s="128"/>
    </row>
    <row r="43" spans="1:11" ht="33" customHeight="1">
      <c r="A43" s="120" t="s">
        <v>115</v>
      </c>
      <c r="B43" s="121">
        <v>1220</v>
      </c>
      <c r="C43" s="74">
        <f>SUM(C9,C16,C25,C33,C35,C37)</f>
        <v>-144302.20000000001</v>
      </c>
      <c r="D43" s="74">
        <f>SUM(D9,D16,D25,D33,D35,D37)</f>
        <v>-179618.30000000002</v>
      </c>
      <c r="E43" s="74">
        <f>SUM(E9,E16,E25,E33,E35,E37)</f>
        <v>-159668.6</v>
      </c>
      <c r="F43" s="74">
        <f t="shared" si="7"/>
        <v>-179618.30000000002</v>
      </c>
      <c r="G43" s="74">
        <f t="shared" si="1"/>
        <v>-19949.700000000012</v>
      </c>
      <c r="H43" s="74">
        <f t="shared" si="2"/>
        <v>112.49444161218925</v>
      </c>
      <c r="J43" s="128"/>
    </row>
    <row r="44" spans="1:11" ht="33" customHeight="1">
      <c r="A44" s="527" t="s">
        <v>129</v>
      </c>
      <c r="B44" s="527"/>
      <c r="C44" s="527"/>
      <c r="D44" s="527"/>
      <c r="E44" s="527"/>
      <c r="F44" s="527"/>
      <c r="G44" s="527"/>
      <c r="H44" s="527"/>
      <c r="J44" s="128"/>
      <c r="K44" s="128"/>
    </row>
    <row r="45" spans="1:11" ht="33" customHeight="1">
      <c r="A45" s="123" t="s">
        <v>55</v>
      </c>
      <c r="B45" s="500">
        <v>9000</v>
      </c>
      <c r="C45" s="124">
        <f>-(C10+C17)</f>
        <v>29864</v>
      </c>
      <c r="D45" s="124">
        <f t="shared" ref="D45:F45" si="8">-(D10+D17)</f>
        <v>31420.2</v>
      </c>
      <c r="E45" s="124">
        <f t="shared" si="8"/>
        <v>25114</v>
      </c>
      <c r="F45" s="124">
        <f t="shared" si="8"/>
        <v>31420.2</v>
      </c>
      <c r="G45" s="129">
        <f t="shared" ref="G45:G50" si="9">F45-E45</f>
        <v>6306.2000000000007</v>
      </c>
      <c r="H45" s="129">
        <f t="shared" ref="H45:H50" si="10">(F45/E45)*100</f>
        <v>125.11029704547265</v>
      </c>
    </row>
    <row r="46" spans="1:11" ht="33" customHeight="1">
      <c r="A46" s="123" t="s">
        <v>2</v>
      </c>
      <c r="B46" s="500">
        <v>9010</v>
      </c>
      <c r="C46" s="124">
        <f>-(C11+C18+C27)</f>
        <v>76382.899999999994</v>
      </c>
      <c r="D46" s="124">
        <f t="shared" ref="D46:F46" si="11">-(D11+D18+D27)</f>
        <v>98532.500000000015</v>
      </c>
      <c r="E46" s="124">
        <f t="shared" si="11"/>
        <v>91644.800000000003</v>
      </c>
      <c r="F46" s="124">
        <f t="shared" si="11"/>
        <v>98532.500000000015</v>
      </c>
      <c r="G46" s="129">
        <f t="shared" si="9"/>
        <v>6887.7000000000116</v>
      </c>
      <c r="H46" s="129">
        <f t="shared" si="10"/>
        <v>107.5156473689724</v>
      </c>
      <c r="I46" s="122">
        <f>D46-C46</f>
        <v>22149.60000000002</v>
      </c>
      <c r="J46" s="128">
        <f>F46-E46</f>
        <v>6887.7000000000116</v>
      </c>
    </row>
    <row r="47" spans="1:11" ht="33" customHeight="1">
      <c r="A47" s="123" t="s">
        <v>3</v>
      </c>
      <c r="B47" s="500">
        <v>9020</v>
      </c>
      <c r="C47" s="124">
        <f>-(C12+C19+C28)</f>
        <v>16218.6</v>
      </c>
      <c r="D47" s="124">
        <f t="shared" ref="D47:F47" si="12">-(D12+D19+D28)</f>
        <v>20785.600000000002</v>
      </c>
      <c r="E47" s="124">
        <f t="shared" si="12"/>
        <v>19979.2</v>
      </c>
      <c r="F47" s="124">
        <f t="shared" si="12"/>
        <v>20785.600000000002</v>
      </c>
      <c r="G47" s="129">
        <f t="shared" si="9"/>
        <v>806.40000000000146</v>
      </c>
      <c r="H47" s="129">
        <f t="shared" si="10"/>
        <v>104.03619764555138</v>
      </c>
    </row>
    <row r="48" spans="1:11" ht="33" customHeight="1">
      <c r="A48" s="123" t="s">
        <v>4</v>
      </c>
      <c r="B48" s="500">
        <v>9030</v>
      </c>
      <c r="C48" s="124">
        <f>-(C13+C20)</f>
        <v>6854.0999999999995</v>
      </c>
      <c r="D48" s="124">
        <f t="shared" ref="D48:F48" si="13">-(D13+D20)</f>
        <v>10787.7</v>
      </c>
      <c r="E48" s="124">
        <f t="shared" si="13"/>
        <v>4516</v>
      </c>
      <c r="F48" s="124">
        <f t="shared" si="13"/>
        <v>10787.7</v>
      </c>
      <c r="G48" s="129">
        <f t="shared" si="9"/>
        <v>6271.7000000000007</v>
      </c>
      <c r="H48" s="129">
        <f t="shared" si="10"/>
        <v>238.8773250664305</v>
      </c>
    </row>
    <row r="49" spans="1:8" ht="33" customHeight="1">
      <c r="A49" s="123" t="s">
        <v>6</v>
      </c>
      <c r="B49" s="500">
        <v>9040</v>
      </c>
      <c r="C49" s="124">
        <f>-(C14+C21+C30)</f>
        <v>14982.600000000002</v>
      </c>
      <c r="D49" s="124">
        <f t="shared" ref="D49:F49" si="14">-(D14+D21+D30)</f>
        <v>18092.3</v>
      </c>
      <c r="E49" s="124">
        <f t="shared" si="14"/>
        <v>18414.599999999999</v>
      </c>
      <c r="F49" s="124">
        <f t="shared" si="14"/>
        <v>18092.3</v>
      </c>
      <c r="G49" s="129">
        <f t="shared" si="9"/>
        <v>-322.29999999999927</v>
      </c>
      <c r="H49" s="129">
        <f t="shared" si="10"/>
        <v>98.249758343922764</v>
      </c>
    </row>
    <row r="50" spans="1:8" ht="33" customHeight="1">
      <c r="A50" s="130" t="s">
        <v>9</v>
      </c>
      <c r="B50" s="502">
        <v>9050</v>
      </c>
      <c r="C50" s="74">
        <f>SUM(C45:C49)</f>
        <v>144302.20000000001</v>
      </c>
      <c r="D50" s="74">
        <f>SUM(D45:D49)</f>
        <v>179618.30000000002</v>
      </c>
      <c r="E50" s="74">
        <f>SUM(E45:E49)</f>
        <v>159668.6</v>
      </c>
      <c r="F50" s="74">
        <f>SUM(F45:F49)</f>
        <v>179618.30000000002</v>
      </c>
      <c r="G50" s="131">
        <f t="shared" si="9"/>
        <v>19949.700000000012</v>
      </c>
      <c r="H50" s="131">
        <f t="shared" si="10"/>
        <v>112.49444161218925</v>
      </c>
    </row>
    <row r="51" spans="1:8" ht="33" customHeight="1">
      <c r="A51" s="519" t="s">
        <v>98</v>
      </c>
      <c r="B51" s="519"/>
      <c r="C51" s="519"/>
      <c r="D51" s="519"/>
      <c r="E51" s="519"/>
      <c r="F51" s="519"/>
      <c r="G51" s="519"/>
      <c r="H51" s="519"/>
    </row>
    <row r="52" spans="1:8" ht="69" customHeight="1">
      <c r="A52" s="132" t="s">
        <v>133</v>
      </c>
      <c r="B52" s="121">
        <v>2110</v>
      </c>
      <c r="C52" s="74">
        <f>SUM(C53:C56)</f>
        <v>1300.3434999999997</v>
      </c>
      <c r="D52" s="74">
        <f>SUM(D53:D56)</f>
        <v>1895.3</v>
      </c>
      <c r="E52" s="74">
        <f>SUM(E53:E56)</f>
        <v>1529.1000000000001</v>
      </c>
      <c r="F52" s="74">
        <f>SUM(F53:F56)</f>
        <v>1895.3</v>
      </c>
      <c r="G52" s="74">
        <f t="shared" ref="G52:G68" si="15">F52-E52</f>
        <v>366.19999999999982</v>
      </c>
      <c r="H52" s="74">
        <f>(F52/E52)*100</f>
        <v>123.94872800994048</v>
      </c>
    </row>
    <row r="53" spans="1:8" ht="44.25" customHeight="1">
      <c r="A53" s="123" t="s">
        <v>52</v>
      </c>
      <c r="B53" s="501">
        <v>2111</v>
      </c>
      <c r="C53" s="124">
        <v>154.6</v>
      </c>
      <c r="D53" s="124">
        <v>130</v>
      </c>
      <c r="E53" s="124">
        <v>154.4</v>
      </c>
      <c r="F53" s="124">
        <f>D53</f>
        <v>130</v>
      </c>
      <c r="G53" s="124">
        <f t="shared" si="15"/>
        <v>-24.400000000000006</v>
      </c>
      <c r="H53" s="124">
        <f t="shared" ref="H53:H68" si="16">(F53/E53)*100</f>
        <v>84.196891191709838</v>
      </c>
    </row>
    <row r="54" spans="1:8" ht="48.75" customHeight="1">
      <c r="A54" s="133" t="s">
        <v>53</v>
      </c>
      <c r="B54" s="501">
        <v>2112</v>
      </c>
      <c r="C54" s="124" t="s">
        <v>26</v>
      </c>
      <c r="D54" s="124" t="s">
        <v>26</v>
      </c>
      <c r="E54" s="124"/>
      <c r="F54" s="124" t="s">
        <v>26</v>
      </c>
      <c r="G54" s="125" t="e">
        <f t="shared" si="15"/>
        <v>#VALUE!</v>
      </c>
      <c r="H54" s="125" t="e">
        <f t="shared" si="16"/>
        <v>#VALUE!</v>
      </c>
    </row>
    <row r="55" spans="1:8" ht="28.5" customHeight="1">
      <c r="A55" s="123" t="s">
        <v>60</v>
      </c>
      <c r="B55" s="501">
        <v>2113</v>
      </c>
      <c r="C55" s="124">
        <f>C46*1.5/100</f>
        <v>1145.7434999999998</v>
      </c>
      <c r="D55" s="124">
        <v>1765.3</v>
      </c>
      <c r="E55" s="124">
        <v>1374.7</v>
      </c>
      <c r="F55" s="124">
        <f>D55</f>
        <v>1765.3</v>
      </c>
      <c r="G55" s="124">
        <f t="shared" si="15"/>
        <v>390.59999999999991</v>
      </c>
      <c r="H55" s="124">
        <f t="shared" si="16"/>
        <v>128.41347203026115</v>
      </c>
    </row>
    <row r="56" spans="1:8" ht="33" customHeight="1">
      <c r="A56" s="123" t="s">
        <v>40</v>
      </c>
      <c r="B56" s="501">
        <v>2114</v>
      </c>
      <c r="C56" s="124" t="s">
        <v>26</v>
      </c>
      <c r="D56" s="124" t="s">
        <v>26</v>
      </c>
      <c r="E56" s="124" t="s">
        <v>26</v>
      </c>
      <c r="F56" s="124" t="s">
        <v>26</v>
      </c>
      <c r="G56" s="125" t="e">
        <f t="shared" si="15"/>
        <v>#VALUE!</v>
      </c>
      <c r="H56" s="125" t="e">
        <f t="shared" si="16"/>
        <v>#VALUE!</v>
      </c>
    </row>
    <row r="57" spans="1:8" ht="43.5" customHeight="1">
      <c r="A57" s="134" t="s">
        <v>57</v>
      </c>
      <c r="B57" s="502">
        <v>2120</v>
      </c>
      <c r="C57" s="74">
        <f>SUM(C58:C63)</f>
        <v>13750.821999999998</v>
      </c>
      <c r="D57" s="74">
        <f>SUM(D58:D63)</f>
        <v>17737.95</v>
      </c>
      <c r="E57" s="74">
        <f>SUM(E58:E63)</f>
        <v>16496.699999999997</v>
      </c>
      <c r="F57" s="74">
        <f>SUM(F58:F63)</f>
        <v>17737.95</v>
      </c>
      <c r="G57" s="74">
        <f t="shared" si="15"/>
        <v>1241.2500000000036</v>
      </c>
      <c r="H57" s="74">
        <f t="shared" si="16"/>
        <v>107.52423211915112</v>
      </c>
    </row>
    <row r="58" spans="1:8" ht="36" customHeight="1">
      <c r="A58" s="133" t="s">
        <v>38</v>
      </c>
      <c r="B58" s="500">
        <v>2121</v>
      </c>
      <c r="C58" s="124" t="s">
        <v>26</v>
      </c>
      <c r="D58" s="124" t="s">
        <v>26</v>
      </c>
      <c r="E58" s="124" t="s">
        <v>26</v>
      </c>
      <c r="F58" s="124" t="s">
        <v>26</v>
      </c>
      <c r="G58" s="125" t="e">
        <f t="shared" si="15"/>
        <v>#VALUE!</v>
      </c>
      <c r="H58" s="125" t="e">
        <f t="shared" si="16"/>
        <v>#VALUE!</v>
      </c>
    </row>
    <row r="59" spans="1:8" ht="33.75" customHeight="1">
      <c r="A59" s="123" t="s">
        <v>14</v>
      </c>
      <c r="B59" s="500">
        <v>2122</v>
      </c>
      <c r="C59" s="124">
        <f>C46*18/100</f>
        <v>13748.921999999999</v>
      </c>
      <c r="D59" s="124">
        <f>D46*18/100</f>
        <v>17735.850000000002</v>
      </c>
      <c r="E59" s="124">
        <v>16496.099999999999</v>
      </c>
      <c r="F59" s="124">
        <f>D59</f>
        <v>17735.850000000002</v>
      </c>
      <c r="G59" s="124">
        <f t="shared" si="15"/>
        <v>1239.7500000000036</v>
      </c>
      <c r="H59" s="124">
        <f>(F59/E59)*100</f>
        <v>107.51541273391896</v>
      </c>
    </row>
    <row r="60" spans="1:8" ht="31.5" customHeight="1">
      <c r="A60" s="123" t="s">
        <v>43</v>
      </c>
      <c r="B60" s="500">
        <v>2123</v>
      </c>
      <c r="C60" s="124">
        <v>1.9</v>
      </c>
      <c r="D60" s="124">
        <v>2.1</v>
      </c>
      <c r="E60" s="124">
        <v>0.6</v>
      </c>
      <c r="F60" s="124">
        <v>2.1</v>
      </c>
      <c r="G60" s="125">
        <f t="shared" si="15"/>
        <v>1.5</v>
      </c>
      <c r="H60" s="125">
        <f t="shared" si="16"/>
        <v>350.00000000000006</v>
      </c>
    </row>
    <row r="61" spans="1:8" ht="31.5" customHeight="1">
      <c r="A61" s="123" t="s">
        <v>44</v>
      </c>
      <c r="B61" s="500">
        <v>2124</v>
      </c>
      <c r="C61" s="124" t="s">
        <v>26</v>
      </c>
      <c r="D61" s="124" t="s">
        <v>26</v>
      </c>
      <c r="E61" s="124" t="s">
        <v>26</v>
      </c>
      <c r="F61" s="124" t="s">
        <v>26</v>
      </c>
      <c r="G61" s="125" t="e">
        <f t="shared" si="15"/>
        <v>#VALUE!</v>
      </c>
      <c r="H61" s="125" t="e">
        <f t="shared" si="16"/>
        <v>#VALUE!</v>
      </c>
    </row>
    <row r="62" spans="1:8" ht="103.5" customHeight="1">
      <c r="A62" s="123" t="s">
        <v>230</v>
      </c>
      <c r="B62" s="500">
        <v>2125</v>
      </c>
      <c r="C62" s="124" t="s">
        <v>26</v>
      </c>
      <c r="D62" s="124" t="s">
        <v>26</v>
      </c>
      <c r="E62" s="124" t="s">
        <v>26</v>
      </c>
      <c r="F62" s="124" t="s">
        <v>26</v>
      </c>
      <c r="G62" s="125" t="e">
        <f t="shared" si="15"/>
        <v>#VALUE!</v>
      </c>
      <c r="H62" s="125" t="e">
        <f t="shared" si="16"/>
        <v>#VALUE!</v>
      </c>
    </row>
    <row r="63" spans="1:8" ht="31.5" customHeight="1">
      <c r="A63" s="123" t="s">
        <v>40</v>
      </c>
      <c r="B63" s="500">
        <v>2126</v>
      </c>
      <c r="C63" s="124" t="s">
        <v>26</v>
      </c>
      <c r="D63" s="124" t="s">
        <v>26</v>
      </c>
      <c r="E63" s="124" t="s">
        <v>26</v>
      </c>
      <c r="F63" s="124" t="s">
        <v>26</v>
      </c>
      <c r="G63" s="125" t="e">
        <f t="shared" si="15"/>
        <v>#VALUE!</v>
      </c>
      <c r="H63" s="125" t="e">
        <f t="shared" si="16"/>
        <v>#VALUE!</v>
      </c>
    </row>
    <row r="64" spans="1:8" ht="48" customHeight="1">
      <c r="A64" s="132" t="s">
        <v>58</v>
      </c>
      <c r="B64" s="502">
        <v>2130</v>
      </c>
      <c r="C64" s="74">
        <f>SUM(C65:C67)</f>
        <v>16467</v>
      </c>
      <c r="D64" s="74">
        <f>SUM(D65:D67)</f>
        <v>21051.4</v>
      </c>
      <c r="E64" s="74">
        <f>SUM(E65:E67)</f>
        <v>20227.600000000002</v>
      </c>
      <c r="F64" s="74">
        <f>SUM(F65:F67)</f>
        <v>21051.4</v>
      </c>
      <c r="G64" s="74">
        <f t="shared" si="15"/>
        <v>823.79999999999927</v>
      </c>
      <c r="H64" s="74">
        <f t="shared" si="16"/>
        <v>104.07265320650991</v>
      </c>
    </row>
    <row r="65" spans="1:9" ht="33" customHeight="1">
      <c r="A65" s="123" t="s">
        <v>41</v>
      </c>
      <c r="B65" s="500">
        <v>2131</v>
      </c>
      <c r="C65" s="124" t="s">
        <v>26</v>
      </c>
      <c r="D65" s="124" t="s">
        <v>26</v>
      </c>
      <c r="E65" s="124" t="s">
        <v>26</v>
      </c>
      <c r="F65" s="124" t="s">
        <v>26</v>
      </c>
      <c r="G65" s="125" t="e">
        <f t="shared" si="15"/>
        <v>#VALUE!</v>
      </c>
      <c r="H65" s="125" t="e">
        <f t="shared" si="16"/>
        <v>#VALUE!</v>
      </c>
    </row>
    <row r="66" spans="1:9" ht="44.25" customHeight="1">
      <c r="A66" s="123" t="s">
        <v>42</v>
      </c>
      <c r="B66" s="500">
        <v>2132</v>
      </c>
      <c r="C66" s="124">
        <f>C47</f>
        <v>16218.6</v>
      </c>
      <c r="D66" s="124">
        <f>D47</f>
        <v>20785.600000000002</v>
      </c>
      <c r="E66" s="124">
        <f>E47</f>
        <v>19979.2</v>
      </c>
      <c r="F66" s="124">
        <f>F47</f>
        <v>20785.600000000002</v>
      </c>
      <c r="G66" s="124">
        <f>F66-E66</f>
        <v>806.40000000000146</v>
      </c>
      <c r="H66" s="124">
        <f t="shared" si="16"/>
        <v>104.03619764555138</v>
      </c>
    </row>
    <row r="67" spans="1:9" ht="42.75" customHeight="1">
      <c r="A67" s="123" t="s">
        <v>694</v>
      </c>
      <c r="B67" s="500">
        <v>2133</v>
      </c>
      <c r="C67" s="124">
        <v>248.4</v>
      </c>
      <c r="D67" s="124">
        <v>265.8</v>
      </c>
      <c r="E67" s="124">
        <v>248.4</v>
      </c>
      <c r="F67" s="124">
        <f>D67</f>
        <v>265.8</v>
      </c>
      <c r="G67" s="124">
        <f t="shared" si="15"/>
        <v>17.400000000000006</v>
      </c>
      <c r="H67" s="124">
        <f t="shared" si="16"/>
        <v>107.0048309178744</v>
      </c>
      <c r="I67" s="122" t="s">
        <v>332</v>
      </c>
    </row>
    <row r="68" spans="1:9" ht="30.75" customHeight="1">
      <c r="A68" s="134" t="s">
        <v>54</v>
      </c>
      <c r="B68" s="502">
        <v>2200</v>
      </c>
      <c r="C68" s="74">
        <f>SUM(C52+C57+C64)</f>
        <v>31518.165499999996</v>
      </c>
      <c r="D68" s="74">
        <f>SUM(D52+D57+D64)</f>
        <v>40684.65</v>
      </c>
      <c r="E68" s="74">
        <f>SUM(E52+E57+E64)</f>
        <v>38253.399999999994</v>
      </c>
      <c r="F68" s="74">
        <f>SUM(F52+F57+F64)</f>
        <v>40684.65</v>
      </c>
      <c r="G68" s="74">
        <f t="shared" si="15"/>
        <v>2431.2500000000073</v>
      </c>
      <c r="H68" s="74">
        <f t="shared" si="16"/>
        <v>106.35564420417533</v>
      </c>
    </row>
    <row r="69" spans="1:9" ht="30.75" customHeight="1">
      <c r="A69" s="524" t="s">
        <v>647</v>
      </c>
      <c r="B69" s="525"/>
      <c r="C69" s="525"/>
      <c r="D69" s="525"/>
      <c r="E69" s="525"/>
      <c r="F69" s="525"/>
      <c r="G69" s="525"/>
      <c r="H69" s="526"/>
    </row>
    <row r="70" spans="1:9" ht="30.75" customHeight="1">
      <c r="A70" s="503" t="s">
        <v>648</v>
      </c>
      <c r="B70" s="502"/>
      <c r="C70" s="504"/>
      <c r="D70" s="504"/>
      <c r="E70" s="504"/>
      <c r="F70" s="504"/>
      <c r="G70" s="504"/>
      <c r="H70" s="504"/>
    </row>
    <row r="71" spans="1:9" ht="45.75" customHeight="1">
      <c r="A71" s="120" t="s">
        <v>649</v>
      </c>
      <c r="B71" s="121">
        <v>3000</v>
      </c>
      <c r="C71" s="504">
        <f>SUM(C72:C75)</f>
        <v>143776.4</v>
      </c>
      <c r="D71" s="504">
        <f>SUM(D72:D75)</f>
        <v>185141.99999999997</v>
      </c>
      <c r="E71" s="504">
        <f>SUM(E72:E75)</f>
        <v>154452.6</v>
      </c>
      <c r="F71" s="504">
        <f>SUM(F72:F75)</f>
        <v>185141.99999999997</v>
      </c>
      <c r="G71" s="504">
        <f>F71-E71</f>
        <v>30689.399999999965</v>
      </c>
      <c r="H71" s="504">
        <f>(F71/E71)*100</f>
        <v>119.86978529335211</v>
      </c>
    </row>
    <row r="72" spans="1:9" ht="43.5" customHeight="1">
      <c r="A72" s="126" t="s">
        <v>650</v>
      </c>
      <c r="B72" s="501">
        <v>3010</v>
      </c>
      <c r="C72" s="505">
        <f>'Рух грошових коштів  '!C8</f>
        <v>123660.1</v>
      </c>
      <c r="D72" s="505">
        <f>F72</f>
        <v>160401.79999999999</v>
      </c>
      <c r="E72" s="505">
        <f>'Рух грошових коштів  '!D8</f>
        <v>137272.9</v>
      </c>
      <c r="F72" s="505">
        <f>'Рух грошових коштів  '!E8</f>
        <v>160401.79999999999</v>
      </c>
      <c r="G72" s="504">
        <f t="shared" ref="G72:G117" si="17">F72-E72</f>
        <v>23128.899999999994</v>
      </c>
      <c r="H72" s="505">
        <f t="shared" ref="H72:H117" si="18">(F72/E72)*100</f>
        <v>116.84884634913372</v>
      </c>
    </row>
    <row r="73" spans="1:9" ht="30.75" customHeight="1">
      <c r="A73" s="126" t="s">
        <v>651</v>
      </c>
      <c r="B73" s="501">
        <v>3020</v>
      </c>
      <c r="C73" s="505">
        <f>'Рух грошових коштів  '!C11</f>
        <v>19136.5</v>
      </c>
      <c r="D73" s="124">
        <f>F73</f>
        <v>23942.9</v>
      </c>
      <c r="E73" s="505">
        <f>'Рух грошових коштів  '!D11</f>
        <v>17083.7</v>
      </c>
      <c r="F73" s="505">
        <f>'Рух грошових коштів  '!E11</f>
        <v>23942.9</v>
      </c>
      <c r="G73" s="504">
        <f t="shared" si="17"/>
        <v>6859.2000000000007</v>
      </c>
      <c r="H73" s="505">
        <f t="shared" si="18"/>
        <v>140.15055286618238</v>
      </c>
    </row>
    <row r="74" spans="1:9" ht="48" customHeight="1">
      <c r="A74" s="123" t="s">
        <v>652</v>
      </c>
      <c r="B74" s="501">
        <v>3030</v>
      </c>
      <c r="C74" s="505"/>
      <c r="D74" s="505"/>
      <c r="E74" s="505"/>
      <c r="F74" s="505">
        <f>D74</f>
        <v>0</v>
      </c>
      <c r="G74" s="504">
        <f t="shared" si="17"/>
        <v>0</v>
      </c>
      <c r="H74" s="506" t="e">
        <f t="shared" si="18"/>
        <v>#DIV/0!</v>
      </c>
    </row>
    <row r="75" spans="1:9" ht="30.75" customHeight="1">
      <c r="A75" s="123" t="s">
        <v>653</v>
      </c>
      <c r="B75" s="501">
        <v>3040</v>
      </c>
      <c r="C75" s="505">
        <f>'Рух грошових коштів  '!C13</f>
        <v>979.8</v>
      </c>
      <c r="D75" s="505">
        <f>F75</f>
        <v>797.3</v>
      </c>
      <c r="E75" s="505">
        <f>'Рух грошових коштів  '!D13</f>
        <v>96</v>
      </c>
      <c r="F75" s="505">
        <f>'Рух грошових коштів  '!E13</f>
        <v>797.3</v>
      </c>
      <c r="G75" s="504">
        <f t="shared" si="17"/>
        <v>701.3</v>
      </c>
      <c r="H75" s="505">
        <f t="shared" si="18"/>
        <v>830.52083333333326</v>
      </c>
    </row>
    <row r="76" spans="1:9" ht="47.25" customHeight="1">
      <c r="A76" s="120" t="s">
        <v>654</v>
      </c>
      <c r="B76" s="121">
        <v>3100</v>
      </c>
      <c r="C76" s="504">
        <f>SUM(C77:C79,C87,C88)</f>
        <v>-133013.13449999999</v>
      </c>
      <c r="D76" s="504">
        <f>SUM(D77:D79,D87,D88)</f>
        <v>-161565.20000000001</v>
      </c>
      <c r="E76" s="504">
        <f>SUM(E77:E79,E87,E88)</f>
        <v>-156644.6</v>
      </c>
      <c r="F76" s="504">
        <f>SUM(F77:F79,F87,F88)</f>
        <v>-161565.20000000001</v>
      </c>
      <c r="G76" s="504">
        <f t="shared" si="17"/>
        <v>-4920.6000000000058</v>
      </c>
      <c r="H76" s="504">
        <f t="shared" si="18"/>
        <v>103.14125095917765</v>
      </c>
    </row>
    <row r="77" spans="1:9" ht="50.25" customHeight="1">
      <c r="A77" s="123" t="s">
        <v>655</v>
      </c>
      <c r="B77" s="501">
        <v>3110</v>
      </c>
      <c r="C77" s="505">
        <v>-40255.1</v>
      </c>
      <c r="D77" s="505">
        <f>-51647+8410.3+1121.7</f>
        <v>-42115</v>
      </c>
      <c r="E77" s="505">
        <v>-44865.599999999999</v>
      </c>
      <c r="F77" s="505">
        <f>D77</f>
        <v>-42115</v>
      </c>
      <c r="G77" s="505">
        <f t="shared" si="17"/>
        <v>2750.5999999999985</v>
      </c>
      <c r="H77" s="505">
        <f t="shared" si="18"/>
        <v>93.869245034057286</v>
      </c>
    </row>
    <row r="78" spans="1:9" ht="30.75" customHeight="1">
      <c r="A78" s="123" t="s">
        <v>656</v>
      </c>
      <c r="B78" s="501">
        <v>3120</v>
      </c>
      <c r="C78" s="505">
        <f>-(C46-C55-C59-C67)</f>
        <v>-61239.834499999997</v>
      </c>
      <c r="D78" s="505">
        <f>-(D46-D55-D59-D67)</f>
        <v>-78765.55</v>
      </c>
      <c r="E78" s="505">
        <f>-(E46-E55-E59-E67)</f>
        <v>-73525.600000000006</v>
      </c>
      <c r="F78" s="505">
        <f>-(F46-F55-F59-F67)</f>
        <v>-78765.55</v>
      </c>
      <c r="G78" s="505">
        <f t="shared" si="17"/>
        <v>-5239.9499999999971</v>
      </c>
      <c r="H78" s="505">
        <f t="shared" si="18"/>
        <v>107.12670144820306</v>
      </c>
    </row>
    <row r="79" spans="1:9" ht="46.5" customHeight="1">
      <c r="A79" s="507" t="s">
        <v>657</v>
      </c>
      <c r="B79" s="508">
        <v>3130</v>
      </c>
      <c r="C79" s="509">
        <v>-31269.8</v>
      </c>
      <c r="D79" s="509">
        <f>SUM(D80:D86)</f>
        <v>-40418.850000000006</v>
      </c>
      <c r="E79" s="509">
        <f>SUM(E80:E86)</f>
        <v>-38005</v>
      </c>
      <c r="F79" s="509">
        <f>SUM(F80:F86)</f>
        <v>-40418.850000000006</v>
      </c>
      <c r="G79" s="504">
        <f t="shared" si="17"/>
        <v>-2413.8500000000058</v>
      </c>
      <c r="H79" s="509">
        <f t="shared" si="18"/>
        <v>106.35140113143009</v>
      </c>
    </row>
    <row r="80" spans="1:9" ht="30.75" customHeight="1">
      <c r="A80" s="123" t="s">
        <v>38</v>
      </c>
      <c r="B80" s="501">
        <v>3131</v>
      </c>
      <c r="C80" s="504"/>
      <c r="D80" s="504"/>
      <c r="E80" s="504"/>
      <c r="F80" s="504"/>
      <c r="G80" s="504">
        <f t="shared" si="17"/>
        <v>0</v>
      </c>
      <c r="H80" s="506" t="e">
        <f t="shared" si="18"/>
        <v>#DIV/0!</v>
      </c>
    </row>
    <row r="81" spans="1:8" ht="30.75" customHeight="1">
      <c r="A81" s="123" t="s">
        <v>170</v>
      </c>
      <c r="B81" s="501">
        <v>3132</v>
      </c>
      <c r="C81" s="505">
        <v>-154.6</v>
      </c>
      <c r="D81" s="505">
        <v>-130</v>
      </c>
      <c r="E81" s="505">
        <v>-154.4</v>
      </c>
      <c r="F81" s="505">
        <f t="shared" ref="F81:F84" si="19">D81</f>
        <v>-130</v>
      </c>
      <c r="G81" s="505">
        <f t="shared" si="17"/>
        <v>24.400000000000006</v>
      </c>
      <c r="H81" s="505">
        <f t="shared" si="18"/>
        <v>84.196891191709838</v>
      </c>
    </row>
    <row r="82" spans="1:8" ht="30.75" customHeight="1">
      <c r="A82" s="123" t="s">
        <v>14</v>
      </c>
      <c r="B82" s="501">
        <v>3133</v>
      </c>
      <c r="C82" s="505">
        <f>C59</f>
        <v>13748.921999999999</v>
      </c>
      <c r="D82" s="505">
        <f>-D59</f>
        <v>-17735.850000000002</v>
      </c>
      <c r="E82" s="505">
        <f>-E59</f>
        <v>-16496.099999999999</v>
      </c>
      <c r="F82" s="505">
        <f>-F59</f>
        <v>-17735.850000000002</v>
      </c>
      <c r="G82" s="505">
        <f t="shared" si="17"/>
        <v>-1239.7500000000036</v>
      </c>
      <c r="H82" s="505">
        <f t="shared" si="18"/>
        <v>107.51541273391896</v>
      </c>
    </row>
    <row r="83" spans="1:8" ht="30.75" customHeight="1">
      <c r="A83" s="123" t="s">
        <v>43</v>
      </c>
      <c r="B83" s="501">
        <v>3134</v>
      </c>
      <c r="C83" s="505">
        <v>-1.9</v>
      </c>
      <c r="D83" s="505">
        <v>-2.1</v>
      </c>
      <c r="E83" s="505">
        <v>-0.6</v>
      </c>
      <c r="F83" s="505">
        <f t="shared" si="19"/>
        <v>-2.1</v>
      </c>
      <c r="G83" s="505">
        <f t="shared" si="17"/>
        <v>-1.5</v>
      </c>
      <c r="H83" s="505">
        <f t="shared" si="18"/>
        <v>350.00000000000006</v>
      </c>
    </row>
    <row r="84" spans="1:8" ht="30.75" customHeight="1">
      <c r="A84" s="123" t="s">
        <v>44</v>
      </c>
      <c r="B84" s="501">
        <v>3135</v>
      </c>
      <c r="C84" s="505"/>
      <c r="D84" s="505"/>
      <c r="E84" s="505"/>
      <c r="F84" s="505">
        <f t="shared" si="19"/>
        <v>0</v>
      </c>
      <c r="G84" s="505">
        <f t="shared" si="17"/>
        <v>0</v>
      </c>
      <c r="H84" s="506" t="e">
        <f t="shared" si="18"/>
        <v>#DIV/0!</v>
      </c>
    </row>
    <row r="85" spans="1:8" ht="30.75" customHeight="1">
      <c r="A85" s="123" t="s">
        <v>60</v>
      </c>
      <c r="B85" s="501">
        <v>3136</v>
      </c>
      <c r="C85" s="505">
        <f>-C55</f>
        <v>-1145.7434999999998</v>
      </c>
      <c r="D85" s="505">
        <f>-D55</f>
        <v>-1765.3</v>
      </c>
      <c r="E85" s="505">
        <f>-E55</f>
        <v>-1374.7</v>
      </c>
      <c r="F85" s="505">
        <f>-F55</f>
        <v>-1765.3</v>
      </c>
      <c r="G85" s="505">
        <f t="shared" si="17"/>
        <v>-390.59999999999991</v>
      </c>
      <c r="H85" s="505">
        <f t="shared" si="18"/>
        <v>128.41347203026115</v>
      </c>
    </row>
    <row r="86" spans="1:8" ht="47.25" customHeight="1">
      <c r="A86" s="123" t="s">
        <v>658</v>
      </c>
      <c r="B86" s="501">
        <v>3137</v>
      </c>
      <c r="C86" s="505">
        <f t="shared" ref="C86:F87" si="20">-C66</f>
        <v>-16218.6</v>
      </c>
      <c r="D86" s="505">
        <f t="shared" si="20"/>
        <v>-20785.600000000002</v>
      </c>
      <c r="E86" s="505">
        <f t="shared" si="20"/>
        <v>-19979.2</v>
      </c>
      <c r="F86" s="505">
        <f t="shared" si="20"/>
        <v>-20785.600000000002</v>
      </c>
      <c r="G86" s="505">
        <f t="shared" si="17"/>
        <v>-806.40000000000146</v>
      </c>
      <c r="H86" s="505">
        <f t="shared" si="18"/>
        <v>104.03619764555138</v>
      </c>
    </row>
    <row r="87" spans="1:8" ht="30.75" customHeight="1">
      <c r="A87" s="123" t="s">
        <v>659</v>
      </c>
      <c r="B87" s="501">
        <v>3138</v>
      </c>
      <c r="C87" s="505">
        <f t="shared" si="20"/>
        <v>-248.4</v>
      </c>
      <c r="D87" s="505">
        <f t="shared" si="20"/>
        <v>-265.8</v>
      </c>
      <c r="E87" s="505">
        <f t="shared" si="20"/>
        <v>-248.4</v>
      </c>
      <c r="F87" s="505">
        <f t="shared" si="20"/>
        <v>-265.8</v>
      </c>
      <c r="G87" s="505">
        <f t="shared" si="17"/>
        <v>-17.400000000000006</v>
      </c>
      <c r="H87" s="505">
        <f t="shared" si="18"/>
        <v>107.0048309178744</v>
      </c>
    </row>
    <row r="88" spans="1:8" ht="30.75" customHeight="1">
      <c r="A88" s="126" t="s">
        <v>49</v>
      </c>
      <c r="B88" s="501">
        <v>3139</v>
      </c>
      <c r="C88" s="505"/>
      <c r="D88" s="505"/>
      <c r="E88" s="505"/>
      <c r="F88" s="505"/>
      <c r="G88" s="504">
        <f t="shared" si="17"/>
        <v>0</v>
      </c>
      <c r="H88" s="506" t="e">
        <f t="shared" si="18"/>
        <v>#DIV/0!</v>
      </c>
    </row>
    <row r="89" spans="1:8" ht="53.25" customHeight="1">
      <c r="A89" s="134" t="s">
        <v>660</v>
      </c>
      <c r="B89" s="502">
        <v>3160</v>
      </c>
      <c r="C89" s="504">
        <f>SUM(C71,C76)</f>
        <v>10763.265500000009</v>
      </c>
      <c r="D89" s="504">
        <f>SUM(D71,D76)</f>
        <v>23576.799999999959</v>
      </c>
      <c r="E89" s="504">
        <f>SUM(E71,E76)</f>
        <v>-2192</v>
      </c>
      <c r="F89" s="504">
        <f>SUM(F71,F76)</f>
        <v>23576.799999999959</v>
      </c>
      <c r="G89" s="504">
        <f t="shared" si="17"/>
        <v>25768.799999999959</v>
      </c>
      <c r="H89" s="504">
        <f t="shared" si="18"/>
        <v>-1075.5839416058375</v>
      </c>
    </row>
    <row r="90" spans="1:8" ht="42.75" customHeight="1">
      <c r="A90" s="503" t="s">
        <v>661</v>
      </c>
      <c r="B90" s="500"/>
      <c r="C90" s="505"/>
      <c r="D90" s="505"/>
      <c r="E90" s="505"/>
      <c r="F90" s="505"/>
      <c r="G90" s="504"/>
      <c r="H90" s="504"/>
    </row>
    <row r="91" spans="1:8" ht="48" customHeight="1">
      <c r="A91" s="134" t="s">
        <v>662</v>
      </c>
      <c r="B91" s="502">
        <v>3200</v>
      </c>
      <c r="C91" s="504">
        <f>C92</f>
        <v>21546.9</v>
      </c>
      <c r="D91" s="504">
        <f>D92</f>
        <v>24006.2</v>
      </c>
      <c r="E91" s="504">
        <f>E92</f>
        <v>31463.8</v>
      </c>
      <c r="F91" s="504">
        <f>F92</f>
        <v>24006.2</v>
      </c>
      <c r="G91" s="504">
        <f t="shared" si="17"/>
        <v>-7457.5999999999985</v>
      </c>
      <c r="H91" s="504">
        <f t="shared" si="18"/>
        <v>76.297840693113997</v>
      </c>
    </row>
    <row r="92" spans="1:8" ht="34.5" customHeight="1">
      <c r="A92" s="510" t="s">
        <v>663</v>
      </c>
      <c r="B92" s="500">
        <v>3210</v>
      </c>
      <c r="C92" s="505">
        <v>21546.9</v>
      </c>
      <c r="D92" s="505">
        <f>F92</f>
        <v>24006.2</v>
      </c>
      <c r="E92" s="505">
        <v>31463.8</v>
      </c>
      <c r="F92" s="505">
        <v>24006.2</v>
      </c>
      <c r="G92" s="504">
        <f t="shared" si="17"/>
        <v>-7457.5999999999985</v>
      </c>
      <c r="H92" s="505">
        <f t="shared" si="18"/>
        <v>76.297840693113997</v>
      </c>
    </row>
    <row r="93" spans="1:8" ht="51" customHeight="1">
      <c r="A93" s="134" t="s">
        <v>664</v>
      </c>
      <c r="B93" s="502">
        <v>3255</v>
      </c>
      <c r="C93" s="504">
        <f>SUM(C94,C101)</f>
        <v>-22888.1</v>
      </c>
      <c r="D93" s="504">
        <f>SUM(D94,D101)</f>
        <v>-32285.600000000002</v>
      </c>
      <c r="E93" s="504">
        <f>SUM(E94,E101)</f>
        <v>-31463.8</v>
      </c>
      <c r="F93" s="504">
        <f>SUM(F94,F101)</f>
        <v>-32285.600000000002</v>
      </c>
      <c r="G93" s="504">
        <f t="shared" si="17"/>
        <v>-821.80000000000291</v>
      </c>
      <c r="H93" s="504">
        <f t="shared" si="18"/>
        <v>102.61189049002346</v>
      </c>
    </row>
    <row r="94" spans="1:8" ht="45.75" customHeight="1">
      <c r="A94" s="507" t="s">
        <v>665</v>
      </c>
      <c r="B94" s="511">
        <v>3260</v>
      </c>
      <c r="C94" s="509">
        <f>SUM(C95:C100)</f>
        <v>-22888.1</v>
      </c>
      <c r="D94" s="509">
        <f>SUM(D95:D100)</f>
        <v>-32285.600000000002</v>
      </c>
      <c r="E94" s="509">
        <v>-31463.8</v>
      </c>
      <c r="F94" s="509">
        <f>SUM(F95:F100)</f>
        <v>-32285.600000000002</v>
      </c>
      <c r="G94" s="504">
        <f t="shared" si="17"/>
        <v>-821.80000000000291</v>
      </c>
      <c r="H94" s="509">
        <f t="shared" si="18"/>
        <v>102.61189049002346</v>
      </c>
    </row>
    <row r="95" spans="1:8" ht="33" customHeight="1">
      <c r="A95" s="123" t="s">
        <v>61</v>
      </c>
      <c r="B95" s="500">
        <v>3265</v>
      </c>
      <c r="C95" s="505">
        <f>-'Рух грошових коштів  '!C23</f>
        <v>0</v>
      </c>
      <c r="D95" s="505">
        <f>F95</f>
        <v>-1783.3</v>
      </c>
      <c r="E95" s="505">
        <f>-'Рух грошових коштів  '!D23</f>
        <v>-140</v>
      </c>
      <c r="F95" s="505">
        <f>-'Рух грошових коштів  '!E23</f>
        <v>-1783.3</v>
      </c>
      <c r="G95" s="504">
        <f t="shared" si="17"/>
        <v>-1643.3</v>
      </c>
      <c r="H95" s="506">
        <f t="shared" si="18"/>
        <v>1273.7857142857142</v>
      </c>
    </row>
    <row r="96" spans="1:8" ht="43.5" customHeight="1">
      <c r="A96" s="123" t="s">
        <v>125</v>
      </c>
      <c r="B96" s="500">
        <v>3266</v>
      </c>
      <c r="C96" s="505">
        <f>-'Рух грошових коштів  '!C25</f>
        <v>-7599.9000000000005</v>
      </c>
      <c r="D96" s="505">
        <f>F96</f>
        <v>-8164.0999999999995</v>
      </c>
      <c r="E96" s="505">
        <f>-'Рух грошових коштів  '!D25</f>
        <v>-1910</v>
      </c>
      <c r="F96" s="505">
        <f>-'Рух грошових коштів  '!E25</f>
        <v>-8164.0999999999995</v>
      </c>
      <c r="G96" s="504">
        <f t="shared" si="17"/>
        <v>-6254.0999999999995</v>
      </c>
      <c r="H96" s="505">
        <f t="shared" si="18"/>
        <v>427.43979057591622</v>
      </c>
    </row>
    <row r="97" spans="1:8" ht="44.25" customHeight="1">
      <c r="A97" s="123" t="s">
        <v>7</v>
      </c>
      <c r="B97" s="500">
        <v>3267</v>
      </c>
      <c r="C97" s="505">
        <f>-'Рух грошових коштів  '!C88</f>
        <v>-618.59999999999991</v>
      </c>
      <c r="D97" s="505">
        <f>F97</f>
        <v>-2680.5999999999995</v>
      </c>
      <c r="E97" s="505">
        <f>-'Рух грошових коштів  '!D88</f>
        <v>0</v>
      </c>
      <c r="F97" s="505">
        <f>-'Рух грошових коштів  '!E88</f>
        <v>-2680.5999999999995</v>
      </c>
      <c r="G97" s="504">
        <f t="shared" si="17"/>
        <v>-2680.5999999999995</v>
      </c>
      <c r="H97" s="506" t="e">
        <f t="shared" si="18"/>
        <v>#DIV/0!</v>
      </c>
    </row>
    <row r="98" spans="1:8" ht="48.75" customHeight="1">
      <c r="A98" s="123" t="s">
        <v>126</v>
      </c>
      <c r="B98" s="500">
        <v>3268</v>
      </c>
      <c r="C98" s="505"/>
      <c r="D98" s="505"/>
      <c r="E98" s="505"/>
      <c r="F98" s="505"/>
      <c r="G98" s="504">
        <f t="shared" si="17"/>
        <v>0</v>
      </c>
      <c r="H98" s="506" t="e">
        <f t="shared" si="18"/>
        <v>#DIV/0!</v>
      </c>
    </row>
    <row r="99" spans="1:8" ht="63" customHeight="1">
      <c r="A99" s="123" t="s">
        <v>62</v>
      </c>
      <c r="B99" s="500">
        <v>3269</v>
      </c>
      <c r="C99" s="505">
        <f>-'Рух грошових коштів  '!C199</f>
        <v>0</v>
      </c>
      <c r="D99" s="505">
        <f>F99</f>
        <v>-4157.8999999999996</v>
      </c>
      <c r="E99" s="505">
        <f>-'Рух грошових коштів  '!D199</f>
        <v>-4243.2</v>
      </c>
      <c r="F99" s="505">
        <f>-'Рух грошових коштів  '!E199</f>
        <v>-4157.8999999999996</v>
      </c>
      <c r="G99" s="504">
        <f t="shared" si="17"/>
        <v>85.300000000000182</v>
      </c>
      <c r="H99" s="506">
        <f t="shared" si="18"/>
        <v>97.98972473604826</v>
      </c>
    </row>
    <row r="100" spans="1:8" ht="39.75" customHeight="1">
      <c r="A100" s="123" t="s">
        <v>63</v>
      </c>
      <c r="B100" s="500">
        <v>3270</v>
      </c>
      <c r="C100" s="505">
        <f>-'Рух грошових коштів  '!C202</f>
        <v>-14669.6</v>
      </c>
      <c r="D100" s="505">
        <f>F100</f>
        <v>-15499.7</v>
      </c>
      <c r="E100" s="505">
        <f>-'Рух грошових коштів  '!D202</f>
        <v>-25170.6</v>
      </c>
      <c r="F100" s="505">
        <f>-'Рух грошових коштів  '!E202</f>
        <v>-15499.7</v>
      </c>
      <c r="G100" s="504">
        <f t="shared" si="17"/>
        <v>9670.8999999999978</v>
      </c>
      <c r="H100" s="505">
        <f t="shared" si="18"/>
        <v>61.578587717416355</v>
      </c>
    </row>
    <row r="101" spans="1:8" ht="30.75" customHeight="1">
      <c r="A101" s="123" t="s">
        <v>49</v>
      </c>
      <c r="B101" s="500">
        <v>3280</v>
      </c>
      <c r="C101" s="505"/>
      <c r="D101" s="505"/>
      <c r="E101" s="505"/>
      <c r="F101" s="505"/>
      <c r="G101" s="504">
        <f t="shared" si="17"/>
        <v>0</v>
      </c>
      <c r="H101" s="506" t="e">
        <f t="shared" si="18"/>
        <v>#DIV/0!</v>
      </c>
    </row>
    <row r="102" spans="1:8" ht="46.5" customHeight="1">
      <c r="A102" s="130" t="s">
        <v>666</v>
      </c>
      <c r="B102" s="502">
        <v>3295</v>
      </c>
      <c r="C102" s="504">
        <f>SUM(C91,C93)</f>
        <v>-1341.1999999999971</v>
      </c>
      <c r="D102" s="504">
        <f>SUM(D91,D93)</f>
        <v>-8279.4000000000015</v>
      </c>
      <c r="E102" s="504">
        <f>SUM(E91,E93)</f>
        <v>0</v>
      </c>
      <c r="F102" s="504">
        <f>SUM(F91,F93)</f>
        <v>-8279.4000000000015</v>
      </c>
      <c r="G102" s="504">
        <f t="shared" si="17"/>
        <v>-8279.4000000000015</v>
      </c>
      <c r="H102" s="512" t="e">
        <f t="shared" si="18"/>
        <v>#DIV/0!</v>
      </c>
    </row>
    <row r="103" spans="1:8" ht="30.75" customHeight="1">
      <c r="A103" s="502" t="s">
        <v>667</v>
      </c>
      <c r="B103" s="502"/>
      <c r="C103" s="504"/>
      <c r="D103" s="504"/>
      <c r="E103" s="504"/>
      <c r="F103" s="504"/>
      <c r="G103" s="504"/>
      <c r="H103" s="504"/>
    </row>
    <row r="104" spans="1:8" ht="42.75" customHeight="1">
      <c r="A104" s="130" t="s">
        <v>668</v>
      </c>
      <c r="B104" s="502">
        <v>3300</v>
      </c>
      <c r="C104" s="504">
        <f>SUM(C105:C108)</f>
        <v>281.39999999999998</v>
      </c>
      <c r="D104" s="504">
        <f>SUM(D105:D108)</f>
        <v>2103.9</v>
      </c>
      <c r="E104" s="504">
        <f>SUM(E105:E108)</f>
        <v>700</v>
      </c>
      <c r="F104" s="504">
        <f>SUM(F105:F108)</f>
        <v>2103.9</v>
      </c>
      <c r="G104" s="504">
        <f t="shared" si="17"/>
        <v>1403.9</v>
      </c>
      <c r="H104" s="504">
        <f t="shared" si="18"/>
        <v>300.55714285714288</v>
      </c>
    </row>
    <row r="105" spans="1:8" ht="30.75" customHeight="1">
      <c r="A105" s="123" t="s">
        <v>669</v>
      </c>
      <c r="B105" s="500">
        <v>3310</v>
      </c>
      <c r="C105" s="505"/>
      <c r="D105" s="505"/>
      <c r="E105" s="505"/>
      <c r="F105" s="505"/>
      <c r="G105" s="504">
        <f t="shared" si="17"/>
        <v>0</v>
      </c>
      <c r="H105" s="506" t="e">
        <f t="shared" si="18"/>
        <v>#DIV/0!</v>
      </c>
    </row>
    <row r="106" spans="1:8" ht="48.75" customHeight="1">
      <c r="A106" s="123" t="s">
        <v>177</v>
      </c>
      <c r="B106" s="500">
        <v>3320</v>
      </c>
      <c r="C106" s="505">
        <f>'Розшифровка 1 до Формування'!D18</f>
        <v>281.39999999999998</v>
      </c>
      <c r="D106" s="505">
        <f>F106</f>
        <v>2103.9</v>
      </c>
      <c r="E106" s="505">
        <f>'Розшифровка 1 до Формування'!E18</f>
        <v>700</v>
      </c>
      <c r="F106" s="505">
        <f>'Розшифровка 1 до Формування'!F18</f>
        <v>2103.9</v>
      </c>
      <c r="G106" s="504">
        <f t="shared" si="17"/>
        <v>1403.9</v>
      </c>
      <c r="H106" s="506">
        <f t="shared" si="18"/>
        <v>300.55714285714288</v>
      </c>
    </row>
    <row r="107" spans="1:8" ht="48.75" customHeight="1">
      <c r="A107" s="123" t="s">
        <v>670</v>
      </c>
      <c r="B107" s="500">
        <v>3330</v>
      </c>
      <c r="C107" s="505"/>
      <c r="D107" s="505"/>
      <c r="E107" s="505"/>
      <c r="F107" s="505"/>
      <c r="G107" s="504">
        <f t="shared" si="17"/>
        <v>0</v>
      </c>
      <c r="H107" s="506" t="e">
        <f t="shared" si="18"/>
        <v>#DIV/0!</v>
      </c>
    </row>
    <row r="108" spans="1:8" ht="30.75" customHeight="1">
      <c r="A108" s="123" t="s">
        <v>653</v>
      </c>
      <c r="B108" s="500">
        <v>3340</v>
      </c>
      <c r="C108" s="505"/>
      <c r="D108" s="505"/>
      <c r="E108" s="505"/>
      <c r="F108" s="505"/>
      <c r="G108" s="504">
        <f t="shared" si="17"/>
        <v>0</v>
      </c>
      <c r="H108" s="506" t="e">
        <f t="shared" si="18"/>
        <v>#DIV/0!</v>
      </c>
    </row>
    <row r="109" spans="1:8" ht="42.75" customHeight="1">
      <c r="A109" s="130" t="s">
        <v>671</v>
      </c>
      <c r="B109" s="502">
        <v>3345</v>
      </c>
      <c r="C109" s="504">
        <f>SUM(C110:C113)</f>
        <v>0</v>
      </c>
      <c r="D109" s="504">
        <f>SUM(D110:D113)</f>
        <v>0</v>
      </c>
      <c r="E109" s="504">
        <f>SUM(E110:E113)</f>
        <v>0</v>
      </c>
      <c r="F109" s="504">
        <f>SUM(F110:F113)</f>
        <v>0</v>
      </c>
      <c r="G109" s="504">
        <f t="shared" si="17"/>
        <v>0</v>
      </c>
      <c r="H109" s="512" t="e">
        <f t="shared" si="18"/>
        <v>#DIV/0!</v>
      </c>
    </row>
    <row r="110" spans="1:8" ht="45.75" customHeight="1">
      <c r="A110" s="123" t="s">
        <v>672</v>
      </c>
      <c r="B110" s="500">
        <v>3350</v>
      </c>
      <c r="C110" s="504"/>
      <c r="D110" s="504"/>
      <c r="E110" s="504"/>
      <c r="F110" s="504"/>
      <c r="G110" s="504">
        <f t="shared" si="17"/>
        <v>0</v>
      </c>
      <c r="H110" s="506" t="e">
        <f t="shared" si="18"/>
        <v>#DIV/0!</v>
      </c>
    </row>
    <row r="111" spans="1:8" ht="30.75" customHeight="1">
      <c r="A111" s="123" t="s">
        <v>673</v>
      </c>
      <c r="B111" s="500">
        <v>3355</v>
      </c>
      <c r="C111" s="504"/>
      <c r="D111" s="504"/>
      <c r="E111" s="504"/>
      <c r="F111" s="504"/>
      <c r="G111" s="504">
        <f t="shared" si="17"/>
        <v>0</v>
      </c>
      <c r="H111" s="506" t="e">
        <f t="shared" si="18"/>
        <v>#DIV/0!</v>
      </c>
    </row>
    <row r="112" spans="1:8" ht="43.5" customHeight="1">
      <c r="A112" s="123" t="s">
        <v>674</v>
      </c>
      <c r="B112" s="500">
        <v>3360</v>
      </c>
      <c r="C112" s="504"/>
      <c r="D112" s="504"/>
      <c r="E112" s="504"/>
      <c r="F112" s="504"/>
      <c r="G112" s="504">
        <f t="shared" si="17"/>
        <v>0</v>
      </c>
      <c r="H112" s="506" t="e">
        <f t="shared" si="18"/>
        <v>#DIV/0!</v>
      </c>
    </row>
    <row r="113" spans="1:11" ht="30.75" customHeight="1">
      <c r="A113" s="123" t="s">
        <v>49</v>
      </c>
      <c r="B113" s="500">
        <v>3365</v>
      </c>
      <c r="C113" s="504"/>
      <c r="D113" s="504"/>
      <c r="E113" s="504"/>
      <c r="F113" s="504"/>
      <c r="G113" s="504">
        <f t="shared" si="17"/>
        <v>0</v>
      </c>
      <c r="H113" s="506" t="e">
        <f t="shared" si="18"/>
        <v>#DIV/0!</v>
      </c>
    </row>
    <row r="114" spans="1:11" ht="30.75" customHeight="1">
      <c r="A114" s="130" t="s">
        <v>675</v>
      </c>
      <c r="B114" s="502">
        <v>3370</v>
      </c>
      <c r="C114" s="504">
        <f>SUM(C104,C109)</f>
        <v>281.39999999999998</v>
      </c>
      <c r="D114" s="504">
        <f>SUM(D104,D109)</f>
        <v>2103.9</v>
      </c>
      <c r="E114" s="504">
        <f>SUM(E104,E109)</f>
        <v>700</v>
      </c>
      <c r="F114" s="504">
        <f>SUM(F104,F109)</f>
        <v>2103.9</v>
      </c>
      <c r="G114" s="504">
        <f t="shared" si="17"/>
        <v>1403.9</v>
      </c>
      <c r="H114" s="504">
        <f t="shared" si="18"/>
        <v>300.55714285714288</v>
      </c>
    </row>
    <row r="115" spans="1:11" ht="30.75" customHeight="1">
      <c r="A115" s="130" t="s">
        <v>676</v>
      </c>
      <c r="B115" s="502">
        <v>3400</v>
      </c>
      <c r="C115" s="504">
        <f>SUM(C89,C102,C114)</f>
        <v>9703.4655000000112</v>
      </c>
      <c r="D115" s="504">
        <f>SUM(D89,D102,D114)</f>
        <v>17401.299999999959</v>
      </c>
      <c r="E115" s="504">
        <f>SUM(E89,E102,E114)</f>
        <v>-1492</v>
      </c>
      <c r="F115" s="504">
        <f>SUM(F89,F102,F114)</f>
        <v>17401.299999999959</v>
      </c>
      <c r="G115" s="504">
        <f t="shared" si="17"/>
        <v>18893.299999999959</v>
      </c>
      <c r="H115" s="504">
        <f t="shared" si="18"/>
        <v>-1166.3069705093806</v>
      </c>
    </row>
    <row r="116" spans="1:11" ht="30.75" customHeight="1">
      <c r="A116" s="123" t="s">
        <v>677</v>
      </c>
      <c r="B116" s="500">
        <v>3405</v>
      </c>
      <c r="C116" s="504">
        <v>479.7</v>
      </c>
      <c r="D116" s="504">
        <v>10183.1</v>
      </c>
      <c r="E116" s="504">
        <v>10183.200000000001</v>
      </c>
      <c r="F116" s="504">
        <v>10183.1</v>
      </c>
      <c r="G116" s="504">
        <f t="shared" si="17"/>
        <v>-0.1000000000003638</v>
      </c>
      <c r="H116" s="504">
        <f t="shared" si="18"/>
        <v>99.999017990415581</v>
      </c>
    </row>
    <row r="117" spans="1:11" ht="30.75" customHeight="1">
      <c r="A117" s="130" t="s">
        <v>678</v>
      </c>
      <c r="B117" s="502">
        <v>3415</v>
      </c>
      <c r="C117" s="504">
        <f>SUM(C116,C115)</f>
        <v>10183.165500000012</v>
      </c>
      <c r="D117" s="504">
        <f>SUM(D116,D115)</f>
        <v>27584.399999999958</v>
      </c>
      <c r="E117" s="504">
        <f>SUM(E116,E115)</f>
        <v>8691.2000000000007</v>
      </c>
      <c r="F117" s="504">
        <f>SUM(F116,F115)</f>
        <v>27584.399999999958</v>
      </c>
      <c r="G117" s="504">
        <f t="shared" si="17"/>
        <v>18893.199999999957</v>
      </c>
      <c r="H117" s="504">
        <f t="shared" si="18"/>
        <v>317.38310014727489</v>
      </c>
      <c r="K117" s="128"/>
    </row>
    <row r="118" spans="1:11" ht="33" customHeight="1">
      <c r="A118" s="520" t="s">
        <v>99</v>
      </c>
      <c r="B118" s="520"/>
      <c r="C118" s="520"/>
      <c r="D118" s="520"/>
      <c r="E118" s="520"/>
      <c r="F118" s="520"/>
      <c r="G118" s="520"/>
      <c r="H118" s="520"/>
    </row>
    <row r="119" spans="1:11" ht="27.75" customHeight="1">
      <c r="A119" s="120" t="s">
        <v>19</v>
      </c>
      <c r="B119" s="121">
        <v>4000</v>
      </c>
      <c r="C119" s="74">
        <f>SUM(C120:C126)</f>
        <v>-27336.6</v>
      </c>
      <c r="D119" s="74">
        <f>SUM(D120:D126)</f>
        <v>-36651.799999999988</v>
      </c>
      <c r="E119" s="74">
        <f>SUM(E120:E126)</f>
        <v>-31463.8</v>
      </c>
      <c r="F119" s="74">
        <f>SUM(F120:F126)</f>
        <v>-36651.799999999988</v>
      </c>
      <c r="G119" s="74">
        <f>F119-E119</f>
        <v>-5187.9999999999891</v>
      </c>
      <c r="H119" s="74">
        <f>(F119/E119)*100</f>
        <v>116.48879029233592</v>
      </c>
    </row>
    <row r="120" spans="1:11" ht="37.5" customHeight="1">
      <c r="A120" s="123" t="s">
        <v>61</v>
      </c>
      <c r="B120" s="501">
        <v>4010</v>
      </c>
      <c r="C120" s="124">
        <f>-'Розшифровка кап'!C6</f>
        <v>0</v>
      </c>
      <c r="D120" s="124">
        <f>F120</f>
        <v>-1738.3</v>
      </c>
      <c r="E120" s="124">
        <f>-'Розшифровка кап'!D6</f>
        <v>-140</v>
      </c>
      <c r="F120" s="124">
        <f>-'Розшифровка кап'!E6</f>
        <v>-1738.3</v>
      </c>
      <c r="G120" s="124">
        <f t="shared" ref="G120:G126" si="21">F120-E120</f>
        <v>-1598.3</v>
      </c>
      <c r="H120" s="124">
        <f t="shared" ref="H120:H126" si="22">(F120/E120)*100</f>
        <v>1241.6428571428571</v>
      </c>
    </row>
    <row r="121" spans="1:11" ht="48.75" customHeight="1">
      <c r="A121" s="123" t="s">
        <v>125</v>
      </c>
      <c r="B121" s="501">
        <v>4020</v>
      </c>
      <c r="C121" s="124">
        <f>-'Розшифровка кап'!C8</f>
        <v>-11533.8</v>
      </c>
      <c r="D121" s="124">
        <f>F121</f>
        <v>-12310.499999999995</v>
      </c>
      <c r="E121" s="124">
        <f>-'Розшифровка кап'!D8</f>
        <v>-1910</v>
      </c>
      <c r="F121" s="124">
        <f>-'Розшифровка кап'!E8</f>
        <v>-12310.499999999995</v>
      </c>
      <c r="G121" s="124">
        <f t="shared" si="21"/>
        <v>-10400.499999999995</v>
      </c>
      <c r="H121" s="124">
        <f t="shared" si="22"/>
        <v>644.52879581151808</v>
      </c>
    </row>
    <row r="122" spans="1:11" ht="48.75" customHeight="1">
      <c r="A122" s="123" t="s">
        <v>70</v>
      </c>
      <c r="B122" s="501">
        <v>4030</v>
      </c>
      <c r="C122" s="124">
        <f>-'Розшифровка кап'!C97</f>
        <v>-1133.1999999999996</v>
      </c>
      <c r="D122" s="124">
        <f>F122</f>
        <v>-2945.3999999999996</v>
      </c>
      <c r="E122" s="124">
        <f>-'Розшифровка кап'!D97</f>
        <v>0</v>
      </c>
      <c r="F122" s="124">
        <f>-'Розшифровка кап'!E97</f>
        <v>-2945.3999999999996</v>
      </c>
      <c r="G122" s="124">
        <f t="shared" si="21"/>
        <v>-2945.3999999999996</v>
      </c>
      <c r="H122" s="125" t="e">
        <f t="shared" si="22"/>
        <v>#DIV/0!</v>
      </c>
    </row>
    <row r="123" spans="1:11" ht="49.5" customHeight="1">
      <c r="A123" s="123" t="s">
        <v>126</v>
      </c>
      <c r="B123" s="501">
        <v>4040</v>
      </c>
      <c r="C123" s="124" t="s">
        <v>26</v>
      </c>
      <c r="D123" s="124" t="s">
        <v>26</v>
      </c>
      <c r="E123" s="124" t="s">
        <v>26</v>
      </c>
      <c r="F123" s="124" t="s">
        <v>26</v>
      </c>
      <c r="G123" s="125" t="e">
        <f t="shared" si="21"/>
        <v>#VALUE!</v>
      </c>
      <c r="H123" s="125" t="e">
        <f t="shared" si="22"/>
        <v>#VALUE!</v>
      </c>
    </row>
    <row r="124" spans="1:11" ht="73.5" customHeight="1">
      <c r="A124" s="123" t="s">
        <v>62</v>
      </c>
      <c r="B124" s="501">
        <v>4050</v>
      </c>
      <c r="C124" s="124">
        <f>-'Розшифровка кап'!C297</f>
        <v>0</v>
      </c>
      <c r="D124" s="124">
        <f>F124</f>
        <v>-4157.8999999999996</v>
      </c>
      <c r="E124" s="124">
        <f>-'Розшифровка кап'!D297</f>
        <v>-4243.2</v>
      </c>
      <c r="F124" s="124">
        <f>-'Розшифровка кап'!E297</f>
        <v>-4157.8999999999996</v>
      </c>
      <c r="G124" s="124">
        <f t="shared" ref="G124:G125" si="23">F124-E124</f>
        <v>85.300000000000182</v>
      </c>
      <c r="H124" s="124">
        <f t="shared" ref="H124:H125" si="24">(F124/E124)*100</f>
        <v>97.98972473604826</v>
      </c>
    </row>
    <row r="125" spans="1:11" ht="36.75" customHeight="1">
      <c r="A125" s="123" t="s">
        <v>63</v>
      </c>
      <c r="B125" s="501">
        <v>4060</v>
      </c>
      <c r="C125" s="124">
        <f>-'Розшифровка кап'!C300</f>
        <v>-14669.6</v>
      </c>
      <c r="D125" s="124">
        <f>F125</f>
        <v>-15499.7</v>
      </c>
      <c r="E125" s="124">
        <f>-'Розшифровка кап'!D300</f>
        <v>-25170.6</v>
      </c>
      <c r="F125" s="124">
        <f>-'Розшифровка кап'!E300</f>
        <v>-15499.7</v>
      </c>
      <c r="G125" s="124">
        <f t="shared" si="23"/>
        <v>9670.8999999999978</v>
      </c>
      <c r="H125" s="124">
        <f t="shared" si="24"/>
        <v>61.578587717416355</v>
      </c>
    </row>
    <row r="126" spans="1:11" ht="39.75" customHeight="1">
      <c r="A126" s="123" t="s">
        <v>49</v>
      </c>
      <c r="B126" s="501">
        <v>4070</v>
      </c>
      <c r="C126" s="124" t="s">
        <v>26</v>
      </c>
      <c r="D126" s="124" t="s">
        <v>26</v>
      </c>
      <c r="E126" s="124" t="s">
        <v>26</v>
      </c>
      <c r="F126" s="124" t="s">
        <v>26</v>
      </c>
      <c r="G126" s="125" t="e">
        <f t="shared" si="21"/>
        <v>#VALUE!</v>
      </c>
      <c r="H126" s="125" t="e">
        <f t="shared" si="22"/>
        <v>#VALUE!</v>
      </c>
    </row>
    <row r="127" spans="1:11" ht="36.75" customHeight="1">
      <c r="A127" s="519" t="s">
        <v>100</v>
      </c>
      <c r="B127" s="519"/>
      <c r="C127" s="519"/>
      <c r="D127" s="519"/>
      <c r="E127" s="519"/>
      <c r="F127" s="519"/>
      <c r="G127" s="519"/>
      <c r="H127" s="519"/>
    </row>
    <row r="128" spans="1:11" ht="63" customHeight="1">
      <c r="A128" s="499"/>
      <c r="B128" s="499"/>
      <c r="C128" s="521" t="s">
        <v>119</v>
      </c>
      <c r="D128" s="521"/>
      <c r="E128" s="522" t="s">
        <v>635</v>
      </c>
      <c r="F128" s="522"/>
      <c r="G128" s="522"/>
      <c r="H128" s="522"/>
    </row>
    <row r="129" spans="1:18" ht="45" customHeight="1">
      <c r="A129" s="499"/>
      <c r="B129" s="499"/>
      <c r="C129" s="500" t="s">
        <v>633</v>
      </c>
      <c r="D129" s="500" t="s">
        <v>632</v>
      </c>
      <c r="E129" s="119" t="s">
        <v>105</v>
      </c>
      <c r="F129" s="119" t="s">
        <v>106</v>
      </c>
      <c r="G129" s="119" t="s">
        <v>107</v>
      </c>
      <c r="H129" s="119" t="s">
        <v>108</v>
      </c>
    </row>
    <row r="130" spans="1:18" s="497" customFormat="1" ht="86.25" customHeight="1">
      <c r="A130" s="134" t="s">
        <v>127</v>
      </c>
      <c r="B130" s="135" t="s">
        <v>30</v>
      </c>
      <c r="C130" s="136">
        <f>SUM(C131:C133)</f>
        <v>507</v>
      </c>
      <c r="D130" s="136">
        <f>SUM(D131:D133)</f>
        <v>522</v>
      </c>
      <c r="E130" s="136">
        <f>SUM(E131:E133)</f>
        <v>547</v>
      </c>
      <c r="F130" s="136">
        <f>SUM(F131:F133)</f>
        <v>522</v>
      </c>
      <c r="G130" s="137" t="s">
        <v>128</v>
      </c>
      <c r="H130" s="131" t="s">
        <v>128</v>
      </c>
      <c r="I130" s="169"/>
      <c r="J130" s="138"/>
    </row>
    <row r="131" spans="1:18" ht="27.75" customHeight="1">
      <c r="A131" s="126" t="s">
        <v>21</v>
      </c>
      <c r="B131" s="501" t="s">
        <v>31</v>
      </c>
      <c r="C131" s="139">
        <v>1</v>
      </c>
      <c r="D131" s="139">
        <v>1</v>
      </c>
      <c r="E131" s="139">
        <v>1</v>
      </c>
      <c r="F131" s="139">
        <f>D131</f>
        <v>1</v>
      </c>
      <c r="G131" s="140" t="s">
        <v>128</v>
      </c>
      <c r="H131" s="129" t="s">
        <v>128</v>
      </c>
      <c r="K131" s="122"/>
      <c r="L131" s="122"/>
    </row>
    <row r="132" spans="1:18" ht="27.75" customHeight="1">
      <c r="A132" s="126" t="s">
        <v>24</v>
      </c>
      <c r="B132" s="501" t="s">
        <v>32</v>
      </c>
      <c r="C132" s="139">
        <v>42</v>
      </c>
      <c r="D132" s="139">
        <v>42</v>
      </c>
      <c r="E132" s="139">
        <v>51</v>
      </c>
      <c r="F132" s="139">
        <f t="shared" ref="F132:F133" si="25">D132</f>
        <v>42</v>
      </c>
      <c r="G132" s="140" t="s">
        <v>128</v>
      </c>
      <c r="H132" s="129" t="s">
        <v>128</v>
      </c>
      <c r="J132" s="122"/>
      <c r="K132" s="122"/>
      <c r="L132" s="141"/>
    </row>
    <row r="133" spans="1:18" ht="27.75" customHeight="1">
      <c r="A133" s="126" t="s">
        <v>22</v>
      </c>
      <c r="B133" s="501" t="s">
        <v>33</v>
      </c>
      <c r="C133" s="139">
        <v>464</v>
      </c>
      <c r="D133" s="139">
        <v>479</v>
      </c>
      <c r="E133" s="139">
        <v>495</v>
      </c>
      <c r="F133" s="139">
        <f t="shared" si="25"/>
        <v>479</v>
      </c>
      <c r="G133" s="140" t="s">
        <v>128</v>
      </c>
      <c r="H133" s="129" t="s">
        <v>128</v>
      </c>
      <c r="J133" s="122"/>
      <c r="K133" s="122"/>
      <c r="L133" s="141"/>
      <c r="M133" s="142"/>
      <c r="N133" s="143"/>
      <c r="O133" s="144"/>
      <c r="P133" s="144"/>
      <c r="Q133" s="144"/>
      <c r="R133" s="144"/>
    </row>
    <row r="134" spans="1:18" ht="27.75" customHeight="1">
      <c r="A134" s="120" t="s">
        <v>71</v>
      </c>
      <c r="B134" s="121" t="s">
        <v>34</v>
      </c>
      <c r="C134" s="145">
        <f>C46</f>
        <v>76382.899999999994</v>
      </c>
      <c r="D134" s="145">
        <f t="shared" ref="D134:F134" si="26">D46</f>
        <v>98532.500000000015</v>
      </c>
      <c r="E134" s="145">
        <f t="shared" si="26"/>
        <v>91644.800000000003</v>
      </c>
      <c r="F134" s="145">
        <f t="shared" si="26"/>
        <v>98532.500000000015</v>
      </c>
      <c r="G134" s="131" t="s">
        <v>128</v>
      </c>
      <c r="H134" s="131" t="s">
        <v>128</v>
      </c>
      <c r="J134" s="122"/>
      <c r="K134" s="122"/>
      <c r="M134" s="146"/>
      <c r="N134" s="147"/>
      <c r="O134" s="148"/>
      <c r="P134" s="148"/>
      <c r="Q134" s="148"/>
      <c r="R134" s="148"/>
    </row>
    <row r="135" spans="1:18" ht="27.75" customHeight="1">
      <c r="A135" s="126" t="s">
        <v>21</v>
      </c>
      <c r="B135" s="501">
        <v>8011</v>
      </c>
      <c r="C135" s="149">
        <v>446.2</v>
      </c>
      <c r="D135" s="150">
        <v>517.1</v>
      </c>
      <c r="E135" s="513">
        <v>720</v>
      </c>
      <c r="F135" s="150">
        <f>D135</f>
        <v>517.1</v>
      </c>
      <c r="G135" s="129" t="s">
        <v>128</v>
      </c>
      <c r="H135" s="129" t="s">
        <v>128</v>
      </c>
      <c r="J135" s="122"/>
      <c r="K135" s="122"/>
      <c r="M135" s="146"/>
      <c r="N135" s="147"/>
      <c r="O135" s="148"/>
      <c r="P135" s="148"/>
      <c r="Q135" s="148"/>
      <c r="R135" s="148"/>
    </row>
    <row r="136" spans="1:18" ht="27.75" customHeight="1">
      <c r="A136" s="126" t="s">
        <v>24</v>
      </c>
      <c r="B136" s="501">
        <v>8012</v>
      </c>
      <c r="C136" s="149">
        <v>4388.8</v>
      </c>
      <c r="D136" s="150">
        <v>9319.4</v>
      </c>
      <c r="E136" s="513">
        <v>8640.6</v>
      </c>
      <c r="F136" s="150">
        <f>D136</f>
        <v>9319.4</v>
      </c>
      <c r="G136" s="129" t="s">
        <v>128</v>
      </c>
      <c r="H136" s="129" t="s">
        <v>128</v>
      </c>
      <c r="J136" s="122"/>
      <c r="K136" s="122"/>
      <c r="M136" s="146"/>
      <c r="N136" s="147"/>
      <c r="O136" s="148"/>
      <c r="P136" s="148"/>
      <c r="Q136" s="148"/>
      <c r="R136" s="148"/>
    </row>
    <row r="137" spans="1:18" ht="27.75" customHeight="1">
      <c r="A137" s="126" t="s">
        <v>22</v>
      </c>
      <c r="B137" s="501">
        <v>8013</v>
      </c>
      <c r="C137" s="149">
        <v>49227.9</v>
      </c>
      <c r="D137" s="150">
        <v>88696</v>
      </c>
      <c r="E137" s="513">
        <v>82284.2</v>
      </c>
      <c r="F137" s="150">
        <f>D137</f>
        <v>88696</v>
      </c>
      <c r="G137" s="129" t="s">
        <v>128</v>
      </c>
      <c r="H137" s="129" t="s">
        <v>128</v>
      </c>
      <c r="J137" s="122"/>
      <c r="K137" s="122"/>
      <c r="M137" s="151"/>
      <c r="N137" s="152"/>
      <c r="O137" s="153"/>
      <c r="P137" s="153"/>
      <c r="Q137" s="153"/>
      <c r="R137" s="153"/>
    </row>
    <row r="138" spans="1:18" ht="27.75" customHeight="1">
      <c r="A138" s="120" t="s">
        <v>2</v>
      </c>
      <c r="B138" s="121">
        <v>8020</v>
      </c>
      <c r="C138" s="145">
        <f>C46</f>
        <v>76382.899999999994</v>
      </c>
      <c r="D138" s="145">
        <f>D46</f>
        <v>98532.500000000015</v>
      </c>
      <c r="E138" s="514">
        <f>E46</f>
        <v>91644.800000000003</v>
      </c>
      <c r="F138" s="145">
        <f>F46</f>
        <v>98532.500000000015</v>
      </c>
      <c r="G138" s="131" t="s">
        <v>128</v>
      </c>
      <c r="H138" s="131" t="s">
        <v>128</v>
      </c>
      <c r="J138" s="122"/>
      <c r="K138" s="122"/>
      <c r="M138" s="146"/>
      <c r="N138" s="147"/>
      <c r="O138" s="154"/>
      <c r="P138" s="154"/>
      <c r="Q138" s="154"/>
      <c r="R138" s="154"/>
    </row>
    <row r="139" spans="1:18" ht="27.75" customHeight="1">
      <c r="A139" s="126" t="s">
        <v>21</v>
      </c>
      <c r="B139" s="501">
        <v>8021</v>
      </c>
      <c r="C139" s="149">
        <f t="shared" ref="C139:E141" si="27">C135</f>
        <v>446.2</v>
      </c>
      <c r="D139" s="149">
        <f>D135</f>
        <v>517.1</v>
      </c>
      <c r="E139" s="513">
        <f>E135</f>
        <v>720</v>
      </c>
      <c r="F139" s="150">
        <f>D139</f>
        <v>517.1</v>
      </c>
      <c r="G139" s="129" t="s">
        <v>128</v>
      </c>
      <c r="H139" s="129" t="s">
        <v>128</v>
      </c>
      <c r="J139" s="122"/>
      <c r="K139" s="122"/>
      <c r="M139" s="146"/>
      <c r="N139" s="147"/>
      <c r="O139" s="154"/>
      <c r="P139" s="154"/>
      <c r="Q139" s="154"/>
      <c r="R139" s="154"/>
    </row>
    <row r="140" spans="1:18" ht="27.75" customHeight="1">
      <c r="A140" s="126" t="s">
        <v>24</v>
      </c>
      <c r="B140" s="501">
        <v>8022</v>
      </c>
      <c r="C140" s="149">
        <f t="shared" si="27"/>
        <v>4388.8</v>
      </c>
      <c r="D140" s="149">
        <f>D136</f>
        <v>9319.4</v>
      </c>
      <c r="E140" s="513">
        <f t="shared" si="27"/>
        <v>8640.6</v>
      </c>
      <c r="F140" s="150">
        <f>D140</f>
        <v>9319.4</v>
      </c>
      <c r="G140" s="129" t="s">
        <v>128</v>
      </c>
      <c r="H140" s="129" t="s">
        <v>128</v>
      </c>
      <c r="J140" s="122"/>
      <c r="K140" s="141"/>
      <c r="M140" s="146"/>
      <c r="N140" s="147"/>
      <c r="O140" s="154"/>
      <c r="P140" s="154"/>
      <c r="Q140" s="154"/>
      <c r="R140" s="154"/>
    </row>
    <row r="141" spans="1:18" ht="27.75" customHeight="1">
      <c r="A141" s="126" t="s">
        <v>22</v>
      </c>
      <c r="B141" s="501">
        <v>8023</v>
      </c>
      <c r="C141" s="149">
        <f t="shared" si="27"/>
        <v>49227.9</v>
      </c>
      <c r="D141" s="149">
        <f>D137</f>
        <v>88696</v>
      </c>
      <c r="E141" s="513">
        <f t="shared" si="27"/>
        <v>82284.2</v>
      </c>
      <c r="F141" s="150">
        <f>D141</f>
        <v>88696</v>
      </c>
      <c r="G141" s="129" t="s">
        <v>128</v>
      </c>
      <c r="H141" s="129" t="s">
        <v>128</v>
      </c>
      <c r="J141" s="122"/>
      <c r="M141" s="151"/>
      <c r="N141" s="152"/>
      <c r="O141" s="153"/>
      <c r="P141" s="153"/>
      <c r="Q141" s="153"/>
      <c r="R141" s="153"/>
    </row>
    <row r="142" spans="1:18" s="497" customFormat="1" ht="66" customHeight="1">
      <c r="A142" s="134" t="s">
        <v>48</v>
      </c>
      <c r="B142" s="135" t="s">
        <v>72</v>
      </c>
      <c r="C142" s="136">
        <f>(C138/C130)/12*1000</f>
        <v>12554.717291255751</v>
      </c>
      <c r="D142" s="136">
        <f>(D138/D130)/12*1000</f>
        <v>15729.964878671777</v>
      </c>
      <c r="E142" s="136">
        <f t="shared" ref="E142" si="28">(E138/E130)/9*1000</f>
        <v>18615.640869388586</v>
      </c>
      <c r="F142" s="136">
        <f>(F138/F130)/12*1000</f>
        <v>15729.964878671777</v>
      </c>
      <c r="G142" s="137" t="s">
        <v>128</v>
      </c>
      <c r="H142" s="131" t="s">
        <v>128</v>
      </c>
      <c r="I142" s="169"/>
      <c r="M142" s="146"/>
      <c r="N142" s="147"/>
      <c r="O142" s="154"/>
      <c r="P142" s="154"/>
      <c r="Q142" s="154"/>
      <c r="R142" s="154"/>
    </row>
    <row r="143" spans="1:18" ht="27.75" customHeight="1">
      <c r="A143" s="126" t="s">
        <v>21</v>
      </c>
      <c r="B143" s="501">
        <v>8031</v>
      </c>
      <c r="C143" s="139">
        <f>(C139/C131)/12*1000</f>
        <v>37183.333333333328</v>
      </c>
      <c r="D143" s="139">
        <f t="shared" ref="D143:F143" si="29">(D139/D131)/12*1000</f>
        <v>43091.666666666672</v>
      </c>
      <c r="E143" s="139">
        <f t="shared" si="29"/>
        <v>60000</v>
      </c>
      <c r="F143" s="139">
        <f t="shared" si="29"/>
        <v>43091.666666666672</v>
      </c>
      <c r="G143" s="140" t="s">
        <v>128</v>
      </c>
      <c r="H143" s="129" t="s">
        <v>128</v>
      </c>
      <c r="J143" s="267"/>
      <c r="M143" s="146"/>
      <c r="N143" s="147"/>
      <c r="O143" s="154"/>
      <c r="P143" s="154"/>
      <c r="Q143" s="154"/>
      <c r="R143" s="154"/>
    </row>
    <row r="144" spans="1:18" ht="27.75" customHeight="1">
      <c r="A144" s="126" t="s">
        <v>24</v>
      </c>
      <c r="B144" s="501">
        <v>8032</v>
      </c>
      <c r="C144" s="139">
        <f t="shared" ref="C144:F145" si="30">(C140/C132)/12*1000</f>
        <v>8707.936507936507</v>
      </c>
      <c r="D144" s="139">
        <f t="shared" si="30"/>
        <v>18490.873015873018</v>
      </c>
      <c r="E144" s="139">
        <f>(E140/E132)/12*1000</f>
        <v>14118.627450980393</v>
      </c>
      <c r="F144" s="139">
        <f t="shared" si="30"/>
        <v>18490.873015873018</v>
      </c>
      <c r="G144" s="140" t="s">
        <v>128</v>
      </c>
      <c r="H144" s="129" t="s">
        <v>128</v>
      </c>
      <c r="M144" s="146"/>
      <c r="N144" s="147"/>
      <c r="O144" s="154"/>
      <c r="P144" s="154"/>
      <c r="Q144" s="154"/>
      <c r="R144" s="154"/>
    </row>
    <row r="145" spans="1:18" ht="27.75" customHeight="1">
      <c r="A145" s="126" t="s">
        <v>22</v>
      </c>
      <c r="B145" s="501">
        <v>8033</v>
      </c>
      <c r="C145" s="139">
        <f t="shared" si="30"/>
        <v>8841.2176724137917</v>
      </c>
      <c r="D145" s="139">
        <f t="shared" si="30"/>
        <v>15430.758524704246</v>
      </c>
      <c r="E145" s="139">
        <f t="shared" si="30"/>
        <v>13852.558922558921</v>
      </c>
      <c r="F145" s="139">
        <f t="shared" si="30"/>
        <v>15430.758524704246</v>
      </c>
      <c r="G145" s="140" t="s">
        <v>128</v>
      </c>
      <c r="H145" s="129" t="s">
        <v>128</v>
      </c>
      <c r="M145" s="142"/>
      <c r="N145" s="143"/>
      <c r="O145" s="144"/>
      <c r="P145" s="144"/>
      <c r="Q145" s="144"/>
      <c r="R145" s="144"/>
    </row>
    <row r="146" spans="1:18" s="497" customFormat="1">
      <c r="A146" s="155"/>
      <c r="C146" s="156"/>
      <c r="D146" s="157"/>
      <c r="E146" s="158"/>
      <c r="F146" s="158"/>
      <c r="G146" s="158"/>
      <c r="H146" s="158"/>
      <c r="I146" s="169"/>
      <c r="M146" s="146"/>
      <c r="N146" s="147"/>
      <c r="O146" s="148"/>
      <c r="P146" s="148"/>
      <c r="Q146" s="148"/>
      <c r="R146" s="148"/>
    </row>
    <row r="147" spans="1:18" s="497" customFormat="1">
      <c r="A147" s="155"/>
      <c r="C147" s="156"/>
      <c r="D147" s="157"/>
      <c r="E147" s="158"/>
      <c r="F147" s="158"/>
      <c r="G147" s="158"/>
      <c r="H147" s="158"/>
      <c r="I147" s="169"/>
      <c r="M147" s="146"/>
      <c r="N147" s="147"/>
      <c r="O147" s="148"/>
      <c r="P147" s="148"/>
      <c r="Q147" s="148"/>
      <c r="R147" s="148"/>
    </row>
    <row r="148" spans="1:18" s="497" customFormat="1" ht="28.5" customHeight="1">
      <c r="A148" s="115" t="s">
        <v>205</v>
      </c>
      <c r="B148" s="159"/>
      <c r="C148" s="517"/>
      <c r="D148" s="518"/>
      <c r="E148" s="160"/>
      <c r="F148" s="160"/>
      <c r="G148" s="523" t="s">
        <v>180</v>
      </c>
      <c r="H148" s="523"/>
      <c r="I148" s="170"/>
      <c r="M148" s="146"/>
      <c r="N148" s="147"/>
      <c r="O148" s="148"/>
      <c r="P148" s="148"/>
      <c r="Q148" s="148"/>
      <c r="R148" s="148"/>
    </row>
    <row r="149" spans="1:18" s="497" customFormat="1">
      <c r="A149" s="497" t="s">
        <v>10</v>
      </c>
      <c r="B149" s="76"/>
      <c r="C149" s="515" t="s">
        <v>11</v>
      </c>
      <c r="D149" s="515"/>
      <c r="E149" s="498"/>
      <c r="F149" s="498"/>
      <c r="G149" s="516" t="s">
        <v>16</v>
      </c>
      <c r="H149" s="516"/>
      <c r="I149" s="169"/>
    </row>
    <row r="150" spans="1:18" s="497" customFormat="1">
      <c r="A150" s="161"/>
      <c r="E150" s="76"/>
      <c r="F150" s="76"/>
      <c r="G150" s="76"/>
      <c r="H150" s="76"/>
      <c r="I150" s="169"/>
    </row>
    <row r="151" spans="1:18" s="497" customFormat="1">
      <c r="A151" s="161"/>
      <c r="E151" s="76"/>
      <c r="F151" s="76"/>
      <c r="G151" s="76"/>
      <c r="H151" s="76"/>
      <c r="I151" s="169"/>
    </row>
    <row r="152" spans="1:18" s="497" customFormat="1">
      <c r="A152" s="161"/>
      <c r="E152" s="76"/>
      <c r="F152" s="76"/>
      <c r="G152" s="76"/>
      <c r="H152" s="76"/>
      <c r="I152" s="169"/>
    </row>
    <row r="153" spans="1:18" s="497" customFormat="1">
      <c r="A153" s="161"/>
      <c r="E153" s="76"/>
      <c r="F153" s="76"/>
      <c r="G153" s="76"/>
      <c r="H153" s="76"/>
      <c r="I153" s="169"/>
    </row>
    <row r="154" spans="1:18" s="497" customFormat="1">
      <c r="A154" s="161"/>
      <c r="E154" s="76"/>
      <c r="F154" s="76"/>
      <c r="G154" s="76"/>
      <c r="H154" s="76"/>
      <c r="I154" s="169"/>
    </row>
    <row r="155" spans="1:18" s="497" customFormat="1">
      <c r="A155" s="161"/>
      <c r="E155" s="76"/>
      <c r="F155" s="76"/>
      <c r="G155" s="76"/>
      <c r="H155" s="76"/>
      <c r="I155" s="169"/>
    </row>
    <row r="156" spans="1:18" s="497" customFormat="1">
      <c r="A156" s="161"/>
      <c r="E156" s="76"/>
      <c r="F156" s="76"/>
      <c r="G156" s="76"/>
      <c r="H156" s="76"/>
      <c r="I156" s="169"/>
    </row>
    <row r="157" spans="1:18" s="497" customFormat="1">
      <c r="A157" s="161"/>
      <c r="E157" s="76"/>
      <c r="F157" s="76"/>
      <c r="G157" s="76"/>
      <c r="H157" s="76"/>
      <c r="I157" s="169"/>
    </row>
    <row r="158" spans="1:18" s="497" customFormat="1">
      <c r="A158" s="161"/>
      <c r="E158" s="76"/>
      <c r="F158" s="76"/>
      <c r="G158" s="76"/>
      <c r="H158" s="76"/>
      <c r="I158" s="169"/>
    </row>
    <row r="159" spans="1:18" s="497" customFormat="1">
      <c r="A159" s="161"/>
      <c r="E159" s="76"/>
      <c r="F159" s="76"/>
      <c r="G159" s="76"/>
      <c r="H159" s="76"/>
      <c r="I159" s="169"/>
    </row>
    <row r="160" spans="1:18" s="497" customFormat="1">
      <c r="A160" s="161"/>
      <c r="E160" s="76"/>
      <c r="F160" s="76"/>
      <c r="G160" s="76"/>
      <c r="H160" s="76"/>
      <c r="I160" s="169"/>
    </row>
    <row r="161" spans="1:9" s="497" customFormat="1">
      <c r="A161" s="161"/>
      <c r="E161" s="76"/>
      <c r="F161" s="76"/>
      <c r="G161" s="76"/>
      <c r="H161" s="76"/>
      <c r="I161" s="169"/>
    </row>
    <row r="162" spans="1:9" s="497" customFormat="1">
      <c r="A162" s="161"/>
      <c r="E162" s="76"/>
      <c r="F162" s="76"/>
      <c r="G162" s="76"/>
      <c r="H162" s="76"/>
      <c r="I162" s="169"/>
    </row>
    <row r="163" spans="1:9" s="497" customFormat="1">
      <c r="A163" s="161"/>
      <c r="E163" s="76"/>
      <c r="F163" s="76"/>
      <c r="G163" s="76"/>
      <c r="H163" s="76"/>
      <c r="I163" s="169"/>
    </row>
    <row r="164" spans="1:9" s="497" customFormat="1">
      <c r="A164" s="161"/>
      <c r="E164" s="76"/>
      <c r="F164" s="76"/>
      <c r="G164" s="76"/>
      <c r="H164" s="76"/>
      <c r="I164" s="169"/>
    </row>
    <row r="165" spans="1:9" s="497" customFormat="1">
      <c r="A165" s="161"/>
      <c r="E165" s="76"/>
      <c r="F165" s="76"/>
      <c r="G165" s="76"/>
      <c r="H165" s="76"/>
      <c r="I165" s="169"/>
    </row>
    <row r="166" spans="1:9" s="497" customFormat="1">
      <c r="A166" s="161"/>
      <c r="E166" s="76"/>
      <c r="F166" s="76"/>
      <c r="G166" s="76"/>
      <c r="H166" s="76"/>
      <c r="I166" s="169"/>
    </row>
    <row r="167" spans="1:9" s="497" customFormat="1">
      <c r="A167" s="161"/>
      <c r="E167" s="76"/>
      <c r="F167" s="76"/>
      <c r="G167" s="76"/>
      <c r="H167" s="76"/>
      <c r="I167" s="169"/>
    </row>
    <row r="168" spans="1:9" s="497" customFormat="1">
      <c r="A168" s="161"/>
      <c r="E168" s="76"/>
      <c r="F168" s="76"/>
      <c r="G168" s="76"/>
      <c r="H168" s="76"/>
      <c r="I168" s="169"/>
    </row>
    <row r="169" spans="1:9" s="497" customFormat="1">
      <c r="A169" s="161"/>
      <c r="E169" s="76"/>
      <c r="F169" s="76"/>
      <c r="G169" s="76"/>
      <c r="H169" s="76"/>
      <c r="I169" s="169"/>
    </row>
    <row r="170" spans="1:9" s="497" customFormat="1">
      <c r="A170" s="161"/>
      <c r="E170" s="76"/>
      <c r="F170" s="76"/>
      <c r="G170" s="76"/>
      <c r="H170" s="76"/>
      <c r="I170" s="169"/>
    </row>
    <row r="171" spans="1:9" s="497" customFormat="1">
      <c r="A171" s="161"/>
      <c r="E171" s="76"/>
      <c r="F171" s="76"/>
      <c r="G171" s="76"/>
      <c r="H171" s="76"/>
      <c r="I171" s="169"/>
    </row>
    <row r="172" spans="1:9" s="497" customFormat="1">
      <c r="A172" s="161"/>
      <c r="E172" s="76"/>
      <c r="F172" s="76"/>
      <c r="G172" s="76"/>
      <c r="H172" s="76"/>
      <c r="I172" s="169"/>
    </row>
    <row r="173" spans="1:9" s="497" customFormat="1">
      <c r="A173" s="161"/>
      <c r="E173" s="76"/>
      <c r="F173" s="76"/>
      <c r="G173" s="76"/>
      <c r="H173" s="76"/>
      <c r="I173" s="169"/>
    </row>
    <row r="174" spans="1:9" s="497" customFormat="1">
      <c r="A174" s="161"/>
      <c r="E174" s="76"/>
      <c r="F174" s="76"/>
      <c r="G174" s="76"/>
      <c r="H174" s="76"/>
      <c r="I174" s="169"/>
    </row>
    <row r="175" spans="1:9" s="497" customFormat="1">
      <c r="A175" s="161"/>
      <c r="E175" s="76"/>
      <c r="F175" s="76"/>
      <c r="G175" s="76"/>
      <c r="H175" s="76"/>
      <c r="I175" s="169"/>
    </row>
    <row r="176" spans="1:9" s="497" customFormat="1">
      <c r="A176" s="161"/>
      <c r="E176" s="76"/>
      <c r="F176" s="76"/>
      <c r="G176" s="76"/>
      <c r="H176" s="76"/>
      <c r="I176" s="169"/>
    </row>
    <row r="177" spans="1:9" s="497" customFormat="1">
      <c r="A177" s="161"/>
      <c r="E177" s="76"/>
      <c r="F177" s="76"/>
      <c r="G177" s="76"/>
      <c r="H177" s="76"/>
      <c r="I177" s="169"/>
    </row>
    <row r="178" spans="1:9" s="497" customFormat="1">
      <c r="A178" s="161"/>
      <c r="E178" s="76"/>
      <c r="F178" s="76"/>
      <c r="G178" s="76"/>
      <c r="H178" s="76"/>
      <c r="I178" s="169"/>
    </row>
    <row r="179" spans="1:9" s="497" customFormat="1">
      <c r="A179" s="161"/>
      <c r="E179" s="76"/>
      <c r="F179" s="76"/>
      <c r="G179" s="76"/>
      <c r="H179" s="76"/>
      <c r="I179" s="169"/>
    </row>
    <row r="180" spans="1:9" s="497" customFormat="1">
      <c r="A180" s="161"/>
      <c r="E180" s="76"/>
      <c r="F180" s="76"/>
      <c r="G180" s="76"/>
      <c r="H180" s="76"/>
      <c r="I180" s="169"/>
    </row>
    <row r="181" spans="1:9" s="497" customFormat="1">
      <c r="A181" s="161"/>
      <c r="E181" s="76"/>
      <c r="F181" s="76"/>
      <c r="G181" s="76"/>
      <c r="H181" s="76"/>
      <c r="I181" s="169"/>
    </row>
    <row r="182" spans="1:9" s="497" customFormat="1">
      <c r="A182" s="161"/>
      <c r="E182" s="76"/>
      <c r="F182" s="76"/>
      <c r="G182" s="76"/>
      <c r="H182" s="76"/>
      <c r="I182" s="169"/>
    </row>
    <row r="183" spans="1:9" s="497" customFormat="1">
      <c r="A183" s="161"/>
      <c r="E183" s="76"/>
      <c r="F183" s="76"/>
      <c r="G183" s="76"/>
      <c r="H183" s="76"/>
      <c r="I183" s="169"/>
    </row>
    <row r="184" spans="1:9" s="497" customFormat="1">
      <c r="A184" s="161"/>
      <c r="E184" s="76"/>
      <c r="F184" s="76"/>
      <c r="G184" s="76"/>
      <c r="H184" s="76"/>
      <c r="I184" s="169"/>
    </row>
    <row r="185" spans="1:9" s="497" customFormat="1">
      <c r="A185" s="161"/>
      <c r="E185" s="76"/>
      <c r="F185" s="76"/>
      <c r="G185" s="76"/>
      <c r="H185" s="76"/>
      <c r="I185" s="169"/>
    </row>
    <row r="186" spans="1:9" s="497" customFormat="1">
      <c r="A186" s="161"/>
      <c r="E186" s="76"/>
      <c r="F186" s="76"/>
      <c r="G186" s="76"/>
      <c r="H186" s="76"/>
      <c r="I186" s="169"/>
    </row>
    <row r="187" spans="1:9" s="497" customFormat="1">
      <c r="A187" s="161"/>
      <c r="E187" s="76"/>
      <c r="F187" s="76"/>
      <c r="G187" s="76"/>
      <c r="H187" s="76"/>
      <c r="I187" s="169"/>
    </row>
    <row r="188" spans="1:9" s="497" customFormat="1">
      <c r="A188" s="161"/>
      <c r="E188" s="76"/>
      <c r="F188" s="76"/>
      <c r="G188" s="76"/>
      <c r="H188" s="76"/>
      <c r="I188" s="169"/>
    </row>
    <row r="189" spans="1:9" s="497" customFormat="1">
      <c r="A189" s="161"/>
      <c r="E189" s="76"/>
      <c r="F189" s="76"/>
      <c r="G189" s="76"/>
      <c r="H189" s="76"/>
      <c r="I189" s="169"/>
    </row>
    <row r="190" spans="1:9" s="497" customFormat="1">
      <c r="A190" s="161"/>
      <c r="E190" s="76"/>
      <c r="F190" s="76"/>
      <c r="G190" s="76"/>
      <c r="H190" s="76"/>
      <c r="I190" s="169"/>
    </row>
    <row r="191" spans="1:9" s="497" customFormat="1">
      <c r="A191" s="161"/>
      <c r="E191" s="76"/>
      <c r="F191" s="76"/>
      <c r="G191" s="76"/>
      <c r="H191" s="76"/>
      <c r="I191" s="169"/>
    </row>
    <row r="192" spans="1:9" s="497" customFormat="1">
      <c r="A192" s="161"/>
      <c r="E192" s="76"/>
      <c r="F192" s="76"/>
      <c r="G192" s="76"/>
      <c r="H192" s="76"/>
      <c r="I192" s="169"/>
    </row>
    <row r="193" spans="1:9" s="497" customFormat="1">
      <c r="A193" s="161"/>
      <c r="E193" s="76"/>
      <c r="F193" s="76"/>
      <c r="G193" s="76"/>
      <c r="H193" s="76"/>
      <c r="I193" s="169"/>
    </row>
    <row r="194" spans="1:9" s="497" customFormat="1">
      <c r="A194" s="161"/>
      <c r="E194" s="76"/>
      <c r="F194" s="76"/>
      <c r="G194" s="76"/>
      <c r="H194" s="76"/>
      <c r="I194" s="169"/>
    </row>
    <row r="195" spans="1:9" s="497" customFormat="1">
      <c r="A195" s="161"/>
      <c r="E195" s="76"/>
      <c r="F195" s="76"/>
      <c r="G195" s="76"/>
      <c r="H195" s="76"/>
      <c r="I195" s="169"/>
    </row>
    <row r="196" spans="1:9" s="497" customFormat="1">
      <c r="A196" s="161"/>
      <c r="E196" s="76"/>
      <c r="F196" s="76"/>
      <c r="G196" s="76"/>
      <c r="H196" s="76"/>
      <c r="I196" s="169"/>
    </row>
    <row r="197" spans="1:9" s="497" customFormat="1">
      <c r="A197" s="161"/>
      <c r="E197" s="76"/>
      <c r="F197" s="76"/>
      <c r="G197" s="76"/>
      <c r="H197" s="76"/>
      <c r="I197" s="169"/>
    </row>
    <row r="198" spans="1:9" s="497" customFormat="1">
      <c r="A198" s="161"/>
      <c r="E198" s="76"/>
      <c r="F198" s="76"/>
      <c r="G198" s="76"/>
      <c r="H198" s="76"/>
      <c r="I198" s="169"/>
    </row>
    <row r="199" spans="1:9" s="497" customFormat="1">
      <c r="A199" s="161"/>
      <c r="E199" s="76"/>
      <c r="F199" s="76"/>
      <c r="G199" s="76"/>
      <c r="H199" s="76"/>
      <c r="I199" s="169"/>
    </row>
    <row r="200" spans="1:9" s="497" customFormat="1">
      <c r="A200" s="161"/>
      <c r="E200" s="76"/>
      <c r="F200" s="76"/>
      <c r="G200" s="76"/>
      <c r="H200" s="76"/>
      <c r="I200" s="169"/>
    </row>
    <row r="201" spans="1:9" s="497" customFormat="1">
      <c r="A201" s="161"/>
      <c r="E201" s="76"/>
      <c r="F201" s="76"/>
      <c r="G201" s="76"/>
      <c r="H201" s="76"/>
      <c r="I201" s="169"/>
    </row>
    <row r="202" spans="1:9" s="497" customFormat="1">
      <c r="A202" s="161"/>
      <c r="E202" s="76"/>
      <c r="F202" s="76"/>
      <c r="G202" s="76"/>
      <c r="H202" s="76"/>
      <c r="I202" s="169"/>
    </row>
    <row r="203" spans="1:9" s="497" customFormat="1">
      <c r="A203" s="161"/>
      <c r="E203" s="76"/>
      <c r="F203" s="76"/>
      <c r="G203" s="76"/>
      <c r="H203" s="76"/>
      <c r="I203" s="169"/>
    </row>
    <row r="204" spans="1:9" s="497" customFormat="1">
      <c r="A204" s="161"/>
      <c r="E204" s="76"/>
      <c r="F204" s="76"/>
      <c r="G204" s="76"/>
      <c r="H204" s="76"/>
      <c r="I204" s="169"/>
    </row>
    <row r="205" spans="1:9" s="497" customFormat="1">
      <c r="A205" s="161"/>
      <c r="E205" s="76"/>
      <c r="F205" s="76"/>
      <c r="G205" s="76"/>
      <c r="H205" s="76"/>
      <c r="I205" s="169"/>
    </row>
    <row r="206" spans="1:9" s="497" customFormat="1">
      <c r="A206" s="161"/>
      <c r="E206" s="76"/>
      <c r="F206" s="76"/>
      <c r="G206" s="76"/>
      <c r="H206" s="76"/>
      <c r="I206" s="169"/>
    </row>
    <row r="207" spans="1:9" s="497" customFormat="1">
      <c r="A207" s="161"/>
      <c r="E207" s="76"/>
      <c r="F207" s="76"/>
      <c r="G207" s="76"/>
      <c r="H207" s="76"/>
      <c r="I207" s="169"/>
    </row>
    <row r="208" spans="1:9" s="497" customFormat="1">
      <c r="A208" s="161"/>
      <c r="E208" s="76"/>
      <c r="F208" s="76"/>
      <c r="G208" s="76"/>
      <c r="H208" s="76"/>
      <c r="I208" s="169"/>
    </row>
    <row r="209" spans="1:9" s="497" customFormat="1">
      <c r="A209" s="161"/>
      <c r="E209" s="76"/>
      <c r="F209" s="76"/>
      <c r="G209" s="76"/>
      <c r="H209" s="76"/>
      <c r="I209" s="169"/>
    </row>
    <row r="210" spans="1:9" s="497" customFormat="1">
      <c r="A210" s="161"/>
      <c r="E210" s="76"/>
      <c r="F210" s="76"/>
      <c r="G210" s="76"/>
      <c r="H210" s="76"/>
      <c r="I210" s="169"/>
    </row>
    <row r="211" spans="1:9" s="497" customFormat="1">
      <c r="A211" s="161"/>
      <c r="E211" s="76"/>
      <c r="F211" s="76"/>
      <c r="G211" s="76"/>
      <c r="H211" s="76"/>
      <c r="I211" s="169"/>
    </row>
    <row r="212" spans="1:9" s="497" customFormat="1">
      <c r="A212" s="161"/>
      <c r="E212" s="76"/>
      <c r="F212" s="76"/>
      <c r="G212" s="76"/>
      <c r="H212" s="76"/>
      <c r="I212" s="169"/>
    </row>
    <row r="213" spans="1:9" s="497" customFormat="1">
      <c r="A213" s="161"/>
      <c r="E213" s="76"/>
      <c r="F213" s="76"/>
      <c r="G213" s="76"/>
      <c r="H213" s="76"/>
      <c r="I213" s="169"/>
    </row>
    <row r="214" spans="1:9" s="497" customFormat="1">
      <c r="A214" s="161"/>
      <c r="E214" s="76"/>
      <c r="F214" s="76"/>
      <c r="G214" s="76"/>
      <c r="H214" s="76"/>
      <c r="I214" s="169"/>
    </row>
    <row r="215" spans="1:9" s="497" customFormat="1">
      <c r="A215" s="161"/>
      <c r="E215" s="76"/>
      <c r="F215" s="76"/>
      <c r="G215" s="76"/>
      <c r="H215" s="76"/>
      <c r="I215" s="169"/>
    </row>
    <row r="216" spans="1:9" s="497" customFormat="1">
      <c r="A216" s="161"/>
      <c r="E216" s="76"/>
      <c r="F216" s="76"/>
      <c r="G216" s="76"/>
      <c r="H216" s="76"/>
      <c r="I216" s="169"/>
    </row>
    <row r="217" spans="1:9" s="497" customFormat="1">
      <c r="A217" s="161"/>
      <c r="E217" s="76"/>
      <c r="F217" s="76"/>
      <c r="G217" s="76"/>
      <c r="H217" s="76"/>
      <c r="I217" s="169"/>
    </row>
    <row r="218" spans="1:9" s="497" customFormat="1">
      <c r="A218" s="161"/>
      <c r="E218" s="76"/>
      <c r="F218" s="76"/>
      <c r="G218" s="76"/>
      <c r="H218" s="76"/>
      <c r="I218" s="169"/>
    </row>
    <row r="219" spans="1:9" s="497" customFormat="1">
      <c r="A219" s="161"/>
      <c r="E219" s="76"/>
      <c r="F219" s="76"/>
      <c r="G219" s="76"/>
      <c r="H219" s="76"/>
      <c r="I219" s="169"/>
    </row>
    <row r="220" spans="1:9" s="497" customFormat="1">
      <c r="A220" s="161"/>
      <c r="E220" s="76"/>
      <c r="F220" s="76"/>
      <c r="G220" s="76"/>
      <c r="H220" s="76"/>
      <c r="I220" s="169"/>
    </row>
    <row r="221" spans="1:9" s="497" customFormat="1">
      <c r="A221" s="161"/>
      <c r="E221" s="76"/>
      <c r="F221" s="76"/>
      <c r="G221" s="76"/>
      <c r="H221" s="76"/>
      <c r="I221" s="169"/>
    </row>
    <row r="222" spans="1:9" s="497" customFormat="1">
      <c r="A222" s="161"/>
      <c r="E222" s="76"/>
      <c r="F222" s="76"/>
      <c r="G222" s="76"/>
      <c r="H222" s="76"/>
      <c r="I222" s="169"/>
    </row>
    <row r="223" spans="1:9" s="497" customFormat="1">
      <c r="A223" s="161"/>
      <c r="E223" s="76"/>
      <c r="F223" s="76"/>
      <c r="G223" s="76"/>
      <c r="H223" s="76"/>
      <c r="I223" s="169"/>
    </row>
    <row r="224" spans="1:9" s="497" customFormat="1">
      <c r="A224" s="161"/>
      <c r="E224" s="76"/>
      <c r="F224" s="76"/>
      <c r="G224" s="76"/>
      <c r="H224" s="76"/>
      <c r="I224" s="169"/>
    </row>
    <row r="225" spans="1:9" s="497" customFormat="1">
      <c r="A225" s="161"/>
      <c r="E225" s="76"/>
      <c r="F225" s="76"/>
      <c r="G225" s="76"/>
      <c r="H225" s="76"/>
      <c r="I225" s="169"/>
    </row>
    <row r="226" spans="1:9" s="497" customFormat="1">
      <c r="A226" s="161"/>
      <c r="E226" s="76"/>
      <c r="F226" s="76"/>
      <c r="G226" s="76"/>
      <c r="H226" s="76"/>
      <c r="I226" s="169"/>
    </row>
    <row r="227" spans="1:9" s="497" customFormat="1">
      <c r="A227" s="161"/>
      <c r="E227" s="76"/>
      <c r="F227" s="76"/>
      <c r="G227" s="76"/>
      <c r="H227" s="76"/>
      <c r="I227" s="169"/>
    </row>
    <row r="228" spans="1:9" s="497" customFormat="1">
      <c r="A228" s="161"/>
      <c r="E228" s="76"/>
      <c r="F228" s="76"/>
      <c r="G228" s="76"/>
      <c r="H228" s="76"/>
      <c r="I228" s="169"/>
    </row>
    <row r="229" spans="1:9" s="497" customFormat="1">
      <c r="A229" s="161"/>
      <c r="E229" s="76"/>
      <c r="F229" s="76"/>
      <c r="G229" s="76"/>
      <c r="H229" s="76"/>
      <c r="I229" s="169"/>
    </row>
    <row r="230" spans="1:9" s="497" customFormat="1">
      <c r="A230" s="161"/>
      <c r="E230" s="76"/>
      <c r="F230" s="76"/>
      <c r="G230" s="76"/>
      <c r="H230" s="76"/>
      <c r="I230" s="169"/>
    </row>
    <row r="231" spans="1:9" s="497" customFormat="1">
      <c r="A231" s="161"/>
      <c r="E231" s="76"/>
      <c r="F231" s="76"/>
      <c r="G231" s="76"/>
      <c r="H231" s="76"/>
      <c r="I231" s="169"/>
    </row>
    <row r="232" spans="1:9" s="497" customFormat="1">
      <c r="A232" s="161"/>
      <c r="E232" s="76"/>
      <c r="F232" s="76"/>
      <c r="G232" s="76"/>
      <c r="H232" s="76"/>
      <c r="I232" s="169"/>
    </row>
    <row r="233" spans="1:9" s="497" customFormat="1">
      <c r="A233" s="161"/>
      <c r="E233" s="76"/>
      <c r="F233" s="76"/>
      <c r="G233" s="76"/>
      <c r="H233" s="76"/>
      <c r="I233" s="169"/>
    </row>
    <row r="234" spans="1:9" s="497" customFormat="1">
      <c r="A234" s="161"/>
      <c r="E234" s="76"/>
      <c r="F234" s="76"/>
      <c r="G234" s="76"/>
      <c r="H234" s="76"/>
      <c r="I234" s="169"/>
    </row>
    <row r="235" spans="1:9" s="497" customFormat="1">
      <c r="A235" s="161"/>
      <c r="E235" s="76"/>
      <c r="F235" s="76"/>
      <c r="G235" s="76"/>
      <c r="H235" s="76"/>
      <c r="I235" s="169"/>
    </row>
    <row r="236" spans="1:9" s="497" customFormat="1">
      <c r="A236" s="161"/>
      <c r="E236" s="76"/>
      <c r="F236" s="76"/>
      <c r="G236" s="76"/>
      <c r="H236" s="76"/>
      <c r="I236" s="169"/>
    </row>
    <row r="237" spans="1:9" s="497" customFormat="1">
      <c r="A237" s="161"/>
      <c r="E237" s="76"/>
      <c r="F237" s="76"/>
      <c r="G237" s="76"/>
      <c r="H237" s="76"/>
      <c r="I237" s="169"/>
    </row>
    <row r="238" spans="1:9" s="497" customFormat="1">
      <c r="A238" s="161"/>
      <c r="E238" s="76"/>
      <c r="F238" s="76"/>
      <c r="G238" s="76"/>
      <c r="H238" s="76"/>
      <c r="I238" s="169"/>
    </row>
    <row r="239" spans="1:9" s="497" customFormat="1">
      <c r="A239" s="161"/>
      <c r="E239" s="76"/>
      <c r="F239" s="76"/>
      <c r="G239" s="76"/>
      <c r="H239" s="76"/>
      <c r="I239" s="169"/>
    </row>
    <row r="240" spans="1:9" s="497" customFormat="1">
      <c r="A240" s="161"/>
      <c r="E240" s="76"/>
      <c r="F240" s="76"/>
      <c r="G240" s="76"/>
      <c r="H240" s="76"/>
      <c r="I240" s="169"/>
    </row>
    <row r="241" spans="1:9" s="497" customFormat="1">
      <c r="A241" s="161"/>
      <c r="E241" s="76"/>
      <c r="F241" s="76"/>
      <c r="G241" s="76"/>
      <c r="H241" s="76"/>
      <c r="I241" s="169"/>
    </row>
    <row r="242" spans="1:9" s="497" customFormat="1">
      <c r="A242" s="161"/>
      <c r="E242" s="76"/>
      <c r="F242" s="76"/>
      <c r="G242" s="76"/>
      <c r="H242" s="76"/>
      <c r="I242" s="169"/>
    </row>
    <row r="243" spans="1:9" s="497" customFormat="1">
      <c r="A243" s="161"/>
      <c r="E243" s="76"/>
      <c r="F243" s="76"/>
      <c r="G243" s="76"/>
      <c r="H243" s="76"/>
      <c r="I243" s="169"/>
    </row>
    <row r="244" spans="1:9" s="497" customFormat="1">
      <c r="A244" s="161"/>
      <c r="E244" s="76"/>
      <c r="F244" s="76"/>
      <c r="G244" s="76"/>
      <c r="H244" s="76"/>
      <c r="I244" s="169"/>
    </row>
    <row r="245" spans="1:9" s="497" customFormat="1">
      <c r="A245" s="161"/>
      <c r="E245" s="76"/>
      <c r="F245" s="76"/>
      <c r="G245" s="76"/>
      <c r="H245" s="76"/>
      <c r="I245" s="169"/>
    </row>
    <row r="246" spans="1:9" s="497" customFormat="1">
      <c r="A246" s="161"/>
      <c r="E246" s="76"/>
      <c r="F246" s="76"/>
      <c r="G246" s="76"/>
      <c r="H246" s="76"/>
      <c r="I246" s="169"/>
    </row>
    <row r="247" spans="1:9" s="497" customFormat="1">
      <c r="A247" s="161"/>
      <c r="E247" s="76"/>
      <c r="F247" s="76"/>
      <c r="G247" s="76"/>
      <c r="H247" s="76"/>
      <c r="I247" s="169"/>
    </row>
    <row r="248" spans="1:9" s="497" customFormat="1">
      <c r="A248" s="161"/>
      <c r="E248" s="76"/>
      <c r="F248" s="76"/>
      <c r="G248" s="76"/>
      <c r="H248" s="76"/>
      <c r="I248" s="169"/>
    </row>
    <row r="249" spans="1:9" s="497" customFormat="1">
      <c r="A249" s="161"/>
      <c r="E249" s="76"/>
      <c r="F249" s="76"/>
      <c r="G249" s="76"/>
      <c r="H249" s="76"/>
      <c r="I249" s="169"/>
    </row>
    <row r="250" spans="1:9" s="497" customFormat="1">
      <c r="A250" s="161"/>
      <c r="E250" s="76"/>
      <c r="F250" s="76"/>
      <c r="G250" s="76"/>
      <c r="H250" s="76"/>
      <c r="I250" s="169"/>
    </row>
    <row r="251" spans="1:9" s="497" customFormat="1">
      <c r="A251" s="161"/>
      <c r="E251" s="76"/>
      <c r="F251" s="76"/>
      <c r="G251" s="76"/>
      <c r="H251" s="76"/>
      <c r="I251" s="169"/>
    </row>
    <row r="252" spans="1:9" s="497" customFormat="1">
      <c r="A252" s="161"/>
      <c r="E252" s="76"/>
      <c r="F252" s="76"/>
      <c r="G252" s="76"/>
      <c r="H252" s="76"/>
      <c r="I252" s="169"/>
    </row>
    <row r="253" spans="1:9" s="497" customFormat="1">
      <c r="A253" s="161"/>
      <c r="E253" s="76"/>
      <c r="F253" s="76"/>
      <c r="G253" s="76"/>
      <c r="H253" s="76"/>
      <c r="I253" s="169"/>
    </row>
    <row r="254" spans="1:9" s="497" customFormat="1">
      <c r="A254" s="161"/>
      <c r="E254" s="76"/>
      <c r="F254" s="76"/>
      <c r="G254" s="76"/>
      <c r="H254" s="76"/>
      <c r="I254" s="169"/>
    </row>
    <row r="255" spans="1:9" s="497" customFormat="1">
      <c r="A255" s="161"/>
      <c r="E255" s="76"/>
      <c r="F255" s="76"/>
      <c r="G255" s="76"/>
      <c r="H255" s="76"/>
      <c r="I255" s="169"/>
    </row>
    <row r="256" spans="1:9" s="497" customFormat="1">
      <c r="A256" s="161"/>
      <c r="E256" s="76"/>
      <c r="F256" s="76"/>
      <c r="G256" s="76"/>
      <c r="H256" s="76"/>
      <c r="I256" s="169"/>
    </row>
    <row r="257" spans="1:9" s="497" customFormat="1">
      <c r="A257" s="161"/>
      <c r="E257" s="76"/>
      <c r="F257" s="76"/>
      <c r="G257" s="76"/>
      <c r="H257" s="76"/>
      <c r="I257" s="169"/>
    </row>
    <row r="258" spans="1:9" s="497" customFormat="1">
      <c r="A258" s="161"/>
      <c r="E258" s="76"/>
      <c r="F258" s="76"/>
      <c r="G258" s="76"/>
      <c r="H258" s="76"/>
      <c r="I258" s="169"/>
    </row>
    <row r="259" spans="1:9" s="497" customFormat="1">
      <c r="A259" s="161"/>
      <c r="E259" s="76"/>
      <c r="F259" s="76"/>
      <c r="G259" s="76"/>
      <c r="H259" s="76"/>
      <c r="I259" s="169"/>
    </row>
    <row r="260" spans="1:9" s="497" customFormat="1">
      <c r="A260" s="161"/>
      <c r="E260" s="76"/>
      <c r="F260" s="76"/>
      <c r="G260" s="76"/>
      <c r="H260" s="76"/>
      <c r="I260" s="169"/>
    </row>
    <row r="261" spans="1:9" s="497" customFormat="1">
      <c r="A261" s="161"/>
      <c r="E261" s="76"/>
      <c r="F261" s="76"/>
      <c r="G261" s="76"/>
      <c r="H261" s="76"/>
      <c r="I261" s="169"/>
    </row>
    <row r="262" spans="1:9" s="497" customFormat="1">
      <c r="A262" s="161"/>
      <c r="E262" s="76"/>
      <c r="F262" s="76"/>
      <c r="G262" s="76"/>
      <c r="H262" s="76"/>
      <c r="I262" s="169"/>
    </row>
    <row r="263" spans="1:9" s="497" customFormat="1">
      <c r="A263" s="161"/>
      <c r="E263" s="76"/>
      <c r="F263" s="76"/>
      <c r="G263" s="76"/>
      <c r="H263" s="76"/>
      <c r="I263" s="169"/>
    </row>
    <row r="264" spans="1:9" s="497" customFormat="1">
      <c r="A264" s="161"/>
      <c r="E264" s="76"/>
      <c r="F264" s="76"/>
      <c r="G264" s="76"/>
      <c r="H264" s="76"/>
      <c r="I264" s="169"/>
    </row>
    <row r="265" spans="1:9" s="497" customFormat="1">
      <c r="A265" s="161"/>
      <c r="E265" s="76"/>
      <c r="F265" s="76"/>
      <c r="G265" s="76"/>
      <c r="H265" s="76"/>
      <c r="I265" s="169"/>
    </row>
    <row r="266" spans="1:9" s="497" customFormat="1">
      <c r="A266" s="161"/>
      <c r="E266" s="76"/>
      <c r="F266" s="76"/>
      <c r="G266" s="76"/>
      <c r="H266" s="76"/>
      <c r="I266" s="169"/>
    </row>
    <row r="267" spans="1:9" s="497" customFormat="1">
      <c r="A267" s="161"/>
      <c r="E267" s="76"/>
      <c r="F267" s="76"/>
      <c r="G267" s="76"/>
      <c r="H267" s="76"/>
      <c r="I267" s="169"/>
    </row>
    <row r="268" spans="1:9" s="497" customFormat="1">
      <c r="A268" s="161"/>
      <c r="E268" s="76"/>
      <c r="F268" s="76"/>
      <c r="G268" s="76"/>
      <c r="H268" s="76"/>
      <c r="I268" s="169"/>
    </row>
    <row r="269" spans="1:9" s="497" customFormat="1">
      <c r="A269" s="161"/>
      <c r="E269" s="76"/>
      <c r="F269" s="76"/>
      <c r="G269" s="76"/>
      <c r="H269" s="76"/>
      <c r="I269" s="169"/>
    </row>
    <row r="270" spans="1:9" s="497" customFormat="1">
      <c r="A270" s="161"/>
      <c r="E270" s="76"/>
      <c r="F270" s="76"/>
      <c r="G270" s="76"/>
      <c r="H270" s="76"/>
      <c r="I270" s="169"/>
    </row>
    <row r="271" spans="1:9" s="497" customFormat="1">
      <c r="A271" s="161"/>
      <c r="E271" s="76"/>
      <c r="F271" s="76"/>
      <c r="G271" s="76"/>
      <c r="H271" s="76"/>
      <c r="I271" s="169"/>
    </row>
    <row r="272" spans="1:9" s="497" customFormat="1">
      <c r="A272" s="161"/>
      <c r="E272" s="76"/>
      <c r="F272" s="76"/>
      <c r="G272" s="76"/>
      <c r="H272" s="76"/>
      <c r="I272" s="169"/>
    </row>
    <row r="273" spans="1:9" s="497" customFormat="1">
      <c r="A273" s="161"/>
      <c r="E273" s="76"/>
      <c r="F273" s="76"/>
      <c r="G273" s="76"/>
      <c r="H273" s="76"/>
      <c r="I273" s="169"/>
    </row>
    <row r="274" spans="1:9" s="497" customFormat="1">
      <c r="A274" s="161"/>
      <c r="E274" s="76"/>
      <c r="F274" s="76"/>
      <c r="G274" s="76"/>
      <c r="H274" s="76"/>
      <c r="I274" s="169"/>
    </row>
    <row r="275" spans="1:9" s="497" customFormat="1">
      <c r="A275" s="161"/>
      <c r="E275" s="76"/>
      <c r="F275" s="76"/>
      <c r="G275" s="76"/>
      <c r="H275" s="76"/>
      <c r="I275" s="169"/>
    </row>
    <row r="276" spans="1:9" s="497" customFormat="1">
      <c r="A276" s="161"/>
      <c r="E276" s="76"/>
      <c r="F276" s="76"/>
      <c r="G276" s="76"/>
      <c r="H276" s="76"/>
      <c r="I276" s="169"/>
    </row>
    <row r="277" spans="1:9" s="497" customFormat="1">
      <c r="A277" s="161"/>
      <c r="E277" s="76"/>
      <c r="F277" s="76"/>
      <c r="G277" s="76"/>
      <c r="H277" s="76"/>
      <c r="I277" s="169"/>
    </row>
    <row r="278" spans="1:9" s="497" customFormat="1">
      <c r="A278" s="161"/>
      <c r="E278" s="76"/>
      <c r="F278" s="76"/>
      <c r="G278" s="76"/>
      <c r="H278" s="76"/>
      <c r="I278" s="169"/>
    </row>
    <row r="279" spans="1:9" s="497" customFormat="1">
      <c r="A279" s="161"/>
      <c r="E279" s="76"/>
      <c r="F279" s="76"/>
      <c r="G279" s="76"/>
      <c r="H279" s="76"/>
      <c r="I279" s="169"/>
    </row>
    <row r="280" spans="1:9" s="497" customFormat="1">
      <c r="A280" s="161"/>
      <c r="E280" s="76"/>
      <c r="F280" s="76"/>
      <c r="G280" s="76"/>
      <c r="H280" s="76"/>
      <c r="I280" s="169"/>
    </row>
    <row r="281" spans="1:9" s="497" customFormat="1">
      <c r="A281" s="161"/>
      <c r="E281" s="76"/>
      <c r="F281" s="76"/>
      <c r="G281" s="76"/>
      <c r="H281" s="76"/>
      <c r="I281" s="169"/>
    </row>
    <row r="282" spans="1:9" s="497" customFormat="1">
      <c r="A282" s="161"/>
      <c r="E282" s="76"/>
      <c r="F282" s="76"/>
      <c r="G282" s="76"/>
      <c r="H282" s="76"/>
      <c r="I282" s="169"/>
    </row>
    <row r="283" spans="1:9" s="497" customFormat="1">
      <c r="A283" s="161"/>
      <c r="E283" s="76"/>
      <c r="F283" s="76"/>
      <c r="G283" s="76"/>
      <c r="H283" s="76"/>
      <c r="I283" s="169"/>
    </row>
    <row r="284" spans="1:9" s="497" customFormat="1">
      <c r="A284" s="161"/>
      <c r="E284" s="76"/>
      <c r="F284" s="76"/>
      <c r="G284" s="76"/>
      <c r="H284" s="76"/>
      <c r="I284" s="169"/>
    </row>
    <row r="285" spans="1:9" s="497" customFormat="1">
      <c r="A285" s="161"/>
      <c r="E285" s="76"/>
      <c r="F285" s="76"/>
      <c r="G285" s="76"/>
      <c r="H285" s="76"/>
      <c r="I285" s="169"/>
    </row>
    <row r="286" spans="1:9" s="497" customFormat="1">
      <c r="A286" s="161"/>
      <c r="E286" s="76"/>
      <c r="F286" s="76"/>
      <c r="G286" s="76"/>
      <c r="H286" s="76"/>
      <c r="I286" s="169"/>
    </row>
    <row r="287" spans="1:9" s="497" customFormat="1">
      <c r="A287" s="161"/>
      <c r="E287" s="76"/>
      <c r="F287" s="76"/>
      <c r="G287" s="76"/>
      <c r="H287" s="76"/>
      <c r="I287" s="169"/>
    </row>
    <row r="288" spans="1:9" s="497" customFormat="1">
      <c r="A288" s="161"/>
      <c r="E288" s="76"/>
      <c r="F288" s="76"/>
      <c r="G288" s="76"/>
      <c r="H288" s="76"/>
      <c r="I288" s="169"/>
    </row>
    <row r="289" spans="1:9" s="497" customFormat="1">
      <c r="A289" s="161"/>
      <c r="E289" s="76"/>
      <c r="F289" s="76"/>
      <c r="G289" s="76"/>
      <c r="H289" s="76"/>
      <c r="I289" s="169"/>
    </row>
    <row r="290" spans="1:9" s="497" customFormat="1">
      <c r="A290" s="161"/>
      <c r="E290" s="76"/>
      <c r="F290" s="76"/>
      <c r="G290" s="76"/>
      <c r="H290" s="76"/>
      <c r="I290" s="169"/>
    </row>
    <row r="291" spans="1:9" s="497" customFormat="1">
      <c r="A291" s="161"/>
      <c r="E291" s="76"/>
      <c r="F291" s="76"/>
      <c r="G291" s="76"/>
      <c r="H291" s="76"/>
      <c r="I291" s="169"/>
    </row>
    <row r="292" spans="1:9" s="497" customFormat="1">
      <c r="A292" s="161"/>
      <c r="E292" s="76"/>
      <c r="F292" s="76"/>
      <c r="G292" s="76"/>
      <c r="H292" s="76"/>
      <c r="I292" s="169"/>
    </row>
    <row r="293" spans="1:9" s="497" customFormat="1">
      <c r="A293" s="161"/>
      <c r="E293" s="76"/>
      <c r="F293" s="76"/>
      <c r="G293" s="76"/>
      <c r="H293" s="76"/>
      <c r="I293" s="169"/>
    </row>
    <row r="294" spans="1:9" s="497" customFormat="1">
      <c r="A294" s="161"/>
      <c r="E294" s="76"/>
      <c r="F294" s="76"/>
      <c r="G294" s="76"/>
      <c r="H294" s="76"/>
      <c r="I294" s="169"/>
    </row>
    <row r="295" spans="1:9" s="497" customFormat="1">
      <c r="A295" s="161"/>
      <c r="E295" s="76"/>
      <c r="F295" s="76"/>
      <c r="G295" s="76"/>
      <c r="H295" s="76"/>
      <c r="I295" s="169"/>
    </row>
    <row r="296" spans="1:9" s="497" customFormat="1">
      <c r="A296" s="161"/>
      <c r="E296" s="76"/>
      <c r="F296" s="76"/>
      <c r="G296" s="76"/>
      <c r="H296" s="76"/>
      <c r="I296" s="169"/>
    </row>
    <row r="297" spans="1:9" s="497" customFormat="1">
      <c r="A297" s="161"/>
      <c r="E297" s="76"/>
      <c r="F297" s="76"/>
      <c r="G297" s="76"/>
      <c r="H297" s="76"/>
      <c r="I297" s="169"/>
    </row>
    <row r="298" spans="1:9" s="497" customFormat="1">
      <c r="A298" s="161"/>
      <c r="E298" s="76"/>
      <c r="F298" s="76"/>
      <c r="G298" s="76"/>
      <c r="H298" s="76"/>
      <c r="I298" s="169"/>
    </row>
    <row r="299" spans="1:9" s="497" customFormat="1">
      <c r="A299" s="161"/>
      <c r="E299" s="76"/>
      <c r="F299" s="76"/>
      <c r="G299" s="76"/>
      <c r="H299" s="76"/>
      <c r="I299" s="169"/>
    </row>
    <row r="300" spans="1:9" s="497" customFormat="1">
      <c r="A300" s="161"/>
      <c r="E300" s="76"/>
      <c r="F300" s="76"/>
      <c r="G300" s="76"/>
      <c r="H300" s="76"/>
      <c r="I300" s="169"/>
    </row>
  </sheetData>
  <mergeCells count="18">
    <mergeCell ref="A44:H44"/>
    <mergeCell ref="A2:H2"/>
    <mergeCell ref="A1:H1"/>
    <mergeCell ref="A4:A5"/>
    <mergeCell ref="B4:B5"/>
    <mergeCell ref="A7:H7"/>
    <mergeCell ref="E4:H4"/>
    <mergeCell ref="C4:D4"/>
    <mergeCell ref="C149:D149"/>
    <mergeCell ref="G149:H149"/>
    <mergeCell ref="C148:D148"/>
    <mergeCell ref="A127:H127"/>
    <mergeCell ref="A51:H51"/>
    <mergeCell ref="A118:H118"/>
    <mergeCell ref="C128:D128"/>
    <mergeCell ref="E128:H128"/>
    <mergeCell ref="G148:H148"/>
    <mergeCell ref="A69:H69"/>
  </mergeCells>
  <phoneticPr fontId="6" type="noConversion"/>
  <pageMargins left="0.39370078740157483" right="0.39370078740157483" top="0.78740157480314965" bottom="0.39370078740157483" header="0.39370078740157483" footer="0.19685039370078741"/>
  <pageSetup paperSize="9" scale="72" fitToHeight="11" orientation="landscape" verticalDpi="300" r:id="rId1"/>
  <headerFooter alignWithMargins="0"/>
  <rowBreaks count="3" manualBreakCount="3">
    <brk id="54" max="7" man="1"/>
    <brk id="72" max="7" man="1"/>
    <brk id="130" max="7" man="1"/>
  </rowBreaks>
  <ignoredErrors>
    <ignoredError sqref="B130:B13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2:N328"/>
  <sheetViews>
    <sheetView view="pageBreakPreview" topLeftCell="A7" zoomScale="70" zoomScaleSheetLayoutView="70" workbookViewId="0">
      <selection activeCell="J20" sqref="J20"/>
    </sheetView>
  </sheetViews>
  <sheetFormatPr defaultRowHeight="18.75"/>
  <cols>
    <col min="1" max="1" width="9.140625" style="1"/>
    <col min="2" max="2" width="58" style="1" customWidth="1"/>
    <col min="3" max="3" width="13.42578125" style="224" customWidth="1"/>
    <col min="4" max="4" width="18.28515625" style="224" customWidth="1"/>
    <col min="5" max="5" width="18.5703125" style="224" customWidth="1"/>
    <col min="6" max="6" width="17.85546875" style="224" customWidth="1"/>
    <col min="7" max="7" width="18.85546875" style="1" customWidth="1"/>
    <col min="8" max="8" width="19.28515625" style="1" customWidth="1"/>
    <col min="9" max="9" width="21.28515625" style="224" customWidth="1"/>
    <col min="10" max="10" width="18" style="1" customWidth="1"/>
    <col min="11" max="11" width="17.28515625" style="1" customWidth="1"/>
    <col min="12" max="12" width="22.140625" style="1" customWidth="1"/>
    <col min="13" max="13" width="16.7109375" style="1" bestFit="1" customWidth="1"/>
    <col min="14" max="14" width="10.5703125" style="1" bestFit="1" customWidth="1"/>
    <col min="15" max="15" width="14.7109375" style="1" bestFit="1" customWidth="1"/>
    <col min="16" max="18" width="9.140625" style="1"/>
    <col min="19" max="19" width="11.5703125" style="1" bestFit="1" customWidth="1"/>
    <col min="20" max="20" width="9.140625" style="1"/>
    <col min="21" max="21" width="11.5703125" style="1" bestFit="1" customWidth="1"/>
    <col min="22" max="16384" width="9.140625" style="1"/>
  </cols>
  <sheetData>
    <row r="2" spans="1:13" ht="20.25">
      <c r="B2" s="536" t="s">
        <v>101</v>
      </c>
      <c r="C2" s="536"/>
      <c r="D2" s="536"/>
      <c r="E2" s="536"/>
      <c r="F2" s="536"/>
    </row>
    <row r="3" spans="1:13">
      <c r="B3" s="225"/>
      <c r="C3" s="2"/>
      <c r="D3" s="225"/>
      <c r="E3" s="225"/>
      <c r="F3" s="225"/>
      <c r="H3" s="1" t="s">
        <v>64</v>
      </c>
    </row>
    <row r="4" spans="1:13" ht="73.5" customHeight="1">
      <c r="A4" s="3" t="s">
        <v>75</v>
      </c>
      <c r="B4" s="3" t="s">
        <v>23</v>
      </c>
      <c r="C4" s="8" t="s">
        <v>5</v>
      </c>
      <c r="D4" s="8" t="s">
        <v>458</v>
      </c>
      <c r="E4" s="8" t="s">
        <v>525</v>
      </c>
      <c r="F4" s="8" t="s">
        <v>460</v>
      </c>
      <c r="G4" s="8" t="s">
        <v>109</v>
      </c>
      <c r="H4" s="8" t="s">
        <v>111</v>
      </c>
    </row>
    <row r="5" spans="1:13" ht="30.75" customHeight="1">
      <c r="A5" s="3">
        <v>1</v>
      </c>
      <c r="B5" s="3">
        <v>2</v>
      </c>
      <c r="C5" s="8">
        <v>3</v>
      </c>
      <c r="D5" s="8">
        <v>4</v>
      </c>
      <c r="E5" s="8">
        <v>5</v>
      </c>
      <c r="F5" s="8">
        <v>6</v>
      </c>
      <c r="G5" s="3">
        <v>7</v>
      </c>
      <c r="H5" s="3">
        <v>8</v>
      </c>
    </row>
    <row r="6" spans="1:13" ht="30.75" customHeight="1">
      <c r="A6" s="539" t="s">
        <v>74</v>
      </c>
      <c r="B6" s="539"/>
      <c r="C6" s="283"/>
      <c r="D6" s="9">
        <f>D7+D10+D17+D19</f>
        <v>159585.69999999998</v>
      </c>
      <c r="E6" s="9">
        <f>E7+E10+E17+E19</f>
        <v>159668.6</v>
      </c>
      <c r="F6" s="9">
        <f>F7+F10+F17+F19</f>
        <v>198051.59999999998</v>
      </c>
      <c r="G6" s="14">
        <f>F6-E6</f>
        <v>38382.999999999971</v>
      </c>
      <c r="H6" s="289">
        <f>(F6/E6)*100</f>
        <v>124.0391661228319</v>
      </c>
      <c r="I6" s="85"/>
      <c r="J6" s="15"/>
      <c r="K6" s="15"/>
      <c r="L6" s="15"/>
    </row>
    <row r="7" spans="1:13" ht="45" customHeight="1">
      <c r="A7" s="541" t="s">
        <v>73</v>
      </c>
      <c r="B7" s="541"/>
      <c r="C7" s="290">
        <v>1000</v>
      </c>
      <c r="D7" s="291">
        <f>SUM(D8:D9)</f>
        <v>123660.1</v>
      </c>
      <c r="E7" s="291">
        <f>SUM(E8:E9)</f>
        <v>137272.9</v>
      </c>
      <c r="F7" s="291">
        <f>SUM(F8:F9)</f>
        <v>160401.79999999999</v>
      </c>
      <c r="G7" s="292">
        <f>F7-E7</f>
        <v>23128.899999999994</v>
      </c>
      <c r="H7" s="292">
        <f>(F7/E7)*100</f>
        <v>116.84884634913372</v>
      </c>
      <c r="K7" s="15"/>
    </row>
    <row r="8" spans="1:13" ht="45" customHeight="1">
      <c r="A8" s="11">
        <v>1</v>
      </c>
      <c r="B8" s="12" t="s">
        <v>181</v>
      </c>
      <c r="C8" s="223"/>
      <c r="D8" s="13">
        <v>122146.6</v>
      </c>
      <c r="E8" s="13">
        <v>135665.4</v>
      </c>
      <c r="F8" s="13">
        <v>159302.9</v>
      </c>
      <c r="G8" s="10">
        <f>F8-E8</f>
        <v>23637.5</v>
      </c>
      <c r="H8" s="10">
        <f>(F8/E8)*100</f>
        <v>117.42338134852366</v>
      </c>
      <c r="J8" s="15"/>
      <c r="L8" s="15"/>
      <c r="M8" s="15"/>
    </row>
    <row r="9" spans="1:13" ht="30" customHeight="1">
      <c r="A9" s="11">
        <v>2</v>
      </c>
      <c r="B9" s="12" t="s">
        <v>227</v>
      </c>
      <c r="C9" s="223"/>
      <c r="D9" s="13">
        <v>1513.5</v>
      </c>
      <c r="E9" s="13">
        <v>1607.5</v>
      </c>
      <c r="F9" s="13">
        <v>1098.9000000000001</v>
      </c>
      <c r="G9" s="10">
        <f t="shared" ref="G9:G12" si="0">F9-E9</f>
        <v>-508.59999999999991</v>
      </c>
      <c r="H9" s="10">
        <f t="shared" ref="H9:H12" si="1">(F9/E9)*100</f>
        <v>68.360808709175743</v>
      </c>
      <c r="I9" s="85"/>
    </row>
    <row r="10" spans="1:13" ht="30.75" customHeight="1">
      <c r="A10" s="531" t="s">
        <v>35</v>
      </c>
      <c r="B10" s="531"/>
      <c r="C10" s="290">
        <v>1040</v>
      </c>
      <c r="D10" s="291">
        <f>SUM(D11:D16)</f>
        <v>29464.400000000001</v>
      </c>
      <c r="E10" s="291">
        <f>SUM(E11:E16)</f>
        <v>17179.7</v>
      </c>
      <c r="F10" s="291">
        <f>SUM(F11:F16)</f>
        <v>25593.9</v>
      </c>
      <c r="G10" s="292">
        <f t="shared" si="0"/>
        <v>8414.2000000000007</v>
      </c>
      <c r="H10" s="292">
        <f t="shared" si="1"/>
        <v>148.9775723673871</v>
      </c>
      <c r="I10" s="85"/>
      <c r="J10" s="40"/>
      <c r="K10" s="15"/>
    </row>
    <row r="11" spans="1:13" ht="48" customHeight="1">
      <c r="A11" s="11">
        <v>1</v>
      </c>
      <c r="B11" s="12" t="s">
        <v>209</v>
      </c>
      <c r="C11" s="223"/>
      <c r="D11" s="13">
        <v>17072.400000000001</v>
      </c>
      <c r="E11" s="13">
        <v>17083.7</v>
      </c>
      <c r="F11" s="13">
        <v>18882.900000000001</v>
      </c>
      <c r="G11" s="10">
        <f t="shared" si="0"/>
        <v>1799.2000000000007</v>
      </c>
      <c r="H11" s="10">
        <f t="shared" si="1"/>
        <v>110.53167639328719</v>
      </c>
      <c r="I11" s="85"/>
      <c r="J11" s="15"/>
    </row>
    <row r="12" spans="1:13" ht="48" customHeight="1">
      <c r="A12" s="11">
        <v>2</v>
      </c>
      <c r="B12" s="12" t="s">
        <v>210</v>
      </c>
      <c r="C12" s="223"/>
      <c r="D12" s="13">
        <v>2734.1</v>
      </c>
      <c r="E12" s="13"/>
      <c r="F12" s="13"/>
      <c r="G12" s="10">
        <f t="shared" si="0"/>
        <v>0</v>
      </c>
      <c r="H12" s="41" t="e">
        <f t="shared" si="1"/>
        <v>#DIV/0!</v>
      </c>
      <c r="J12" s="15"/>
    </row>
    <row r="13" spans="1:13" ht="45" customHeight="1">
      <c r="A13" s="11">
        <v>3</v>
      </c>
      <c r="B13" s="16" t="s">
        <v>267</v>
      </c>
      <c r="C13" s="223"/>
      <c r="D13" s="13"/>
      <c r="E13" s="13"/>
      <c r="F13" s="13">
        <v>36.799999999999997</v>
      </c>
      <c r="G13" s="10">
        <f t="shared" ref="G13:G20" si="2">F13-E13</f>
        <v>36.799999999999997</v>
      </c>
      <c r="H13" s="41" t="e">
        <f t="shared" ref="H13:H20" si="3">(F13/E13)*100</f>
        <v>#DIV/0!</v>
      </c>
      <c r="J13" s="15"/>
    </row>
    <row r="14" spans="1:13" ht="32.25" customHeight="1">
      <c r="A14" s="11">
        <v>4</v>
      </c>
      <c r="B14" s="12" t="s">
        <v>182</v>
      </c>
      <c r="C14" s="223"/>
      <c r="D14" s="13">
        <v>108.9</v>
      </c>
      <c r="E14" s="13">
        <v>96</v>
      </c>
      <c r="F14" s="13">
        <f>154.9</f>
        <v>154.9</v>
      </c>
      <c r="G14" s="10">
        <f t="shared" si="2"/>
        <v>58.900000000000006</v>
      </c>
      <c r="H14" s="10">
        <f t="shared" si="3"/>
        <v>161.35416666666666</v>
      </c>
    </row>
    <row r="15" spans="1:13" ht="33" customHeight="1">
      <c r="A15" s="11">
        <v>5</v>
      </c>
      <c r="B15" s="12" t="s">
        <v>183</v>
      </c>
      <c r="C15" s="223"/>
      <c r="D15" s="13">
        <v>870.9</v>
      </c>
      <c r="E15" s="13"/>
      <c r="F15" s="13">
        <v>605.6</v>
      </c>
      <c r="G15" s="10">
        <f t="shared" si="2"/>
        <v>605.6</v>
      </c>
      <c r="H15" s="41" t="e">
        <f t="shared" si="3"/>
        <v>#DIV/0!</v>
      </c>
      <c r="J15" s="15"/>
    </row>
    <row r="16" spans="1:13" ht="30.75" customHeight="1">
      <c r="A16" s="11">
        <v>6</v>
      </c>
      <c r="B16" s="12" t="s">
        <v>184</v>
      </c>
      <c r="C16" s="223"/>
      <c r="D16" s="13">
        <v>8678.1</v>
      </c>
      <c r="E16" s="13"/>
      <c r="F16" s="13">
        <v>5913.7</v>
      </c>
      <c r="G16" s="10">
        <f t="shared" si="2"/>
        <v>5913.7</v>
      </c>
      <c r="H16" s="41" t="e">
        <f t="shared" si="3"/>
        <v>#DIV/0!</v>
      </c>
      <c r="I16" s="85"/>
      <c r="J16" s="15"/>
    </row>
    <row r="17" spans="1:11" ht="30.75" customHeight="1">
      <c r="A17" s="531" t="s">
        <v>76</v>
      </c>
      <c r="B17" s="531"/>
      <c r="C17" s="290">
        <v>1130</v>
      </c>
      <c r="D17" s="291">
        <f>D18</f>
        <v>281.39999999999998</v>
      </c>
      <c r="E17" s="291">
        <f>E18</f>
        <v>700</v>
      </c>
      <c r="F17" s="291">
        <f>F18</f>
        <v>2103.9</v>
      </c>
      <c r="G17" s="292">
        <f t="shared" si="2"/>
        <v>1403.9</v>
      </c>
      <c r="H17" s="292">
        <f t="shared" si="3"/>
        <v>300.55714285714288</v>
      </c>
    </row>
    <row r="18" spans="1:11" ht="45" customHeight="1">
      <c r="A18" s="11">
        <v>1</v>
      </c>
      <c r="B18" s="16" t="s">
        <v>185</v>
      </c>
      <c r="C18" s="8"/>
      <c r="D18" s="13">
        <v>281.39999999999998</v>
      </c>
      <c r="E18" s="13">
        <v>700</v>
      </c>
      <c r="F18" s="13">
        <v>2103.9</v>
      </c>
      <c r="G18" s="10">
        <f t="shared" si="2"/>
        <v>1403.9</v>
      </c>
      <c r="H18" s="10">
        <f t="shared" si="3"/>
        <v>300.55714285714288</v>
      </c>
    </row>
    <row r="19" spans="1:11" ht="30.75" customHeight="1">
      <c r="A19" s="531" t="s">
        <v>27</v>
      </c>
      <c r="B19" s="531"/>
      <c r="C19" s="290">
        <v>1150</v>
      </c>
      <c r="D19" s="291">
        <f>SUM(D20:D20)</f>
        <v>6179.8</v>
      </c>
      <c r="E19" s="291">
        <f>SUM(E20:E20)</f>
        <v>4516</v>
      </c>
      <c r="F19" s="291">
        <f>SUM(F20:F20)</f>
        <v>9952</v>
      </c>
      <c r="G19" s="292">
        <f t="shared" si="2"/>
        <v>5436</v>
      </c>
      <c r="H19" s="292">
        <f t="shared" si="3"/>
        <v>220.37201062887513</v>
      </c>
      <c r="I19" s="85"/>
      <c r="J19" s="15"/>
    </row>
    <row r="20" spans="1:11" ht="41.25" customHeight="1">
      <c r="A20" s="3">
        <v>2</v>
      </c>
      <c r="B20" s="12" t="s">
        <v>198</v>
      </c>
      <c r="C20" s="223"/>
      <c r="D20" s="13">
        <v>6179.8</v>
      </c>
      <c r="E20" s="13">
        <v>4516</v>
      </c>
      <c r="F20" s="13">
        <v>9952</v>
      </c>
      <c r="G20" s="10">
        <f t="shared" si="2"/>
        <v>5436</v>
      </c>
      <c r="H20" s="10">
        <f t="shared" si="3"/>
        <v>220.37201062887513</v>
      </c>
    </row>
    <row r="21" spans="1:11" ht="35.25" customHeight="1">
      <c r="A21" s="539" t="s">
        <v>77</v>
      </c>
      <c r="B21" s="539"/>
      <c r="C21" s="223"/>
      <c r="D21" s="9"/>
      <c r="E21" s="9"/>
      <c r="F21" s="9"/>
      <c r="G21" s="10"/>
      <c r="H21" s="10"/>
    </row>
    <row r="22" spans="1:11" ht="48" customHeight="1">
      <c r="A22" s="533" t="s">
        <v>78</v>
      </c>
      <c r="B22" s="533"/>
      <c r="C22" s="8"/>
      <c r="D22" s="9"/>
      <c r="E22" s="9"/>
      <c r="F22" s="9"/>
      <c r="G22" s="10"/>
      <c r="H22" s="10"/>
    </row>
    <row r="23" spans="1:11" ht="34.5" customHeight="1">
      <c r="A23" s="540" t="s">
        <v>79</v>
      </c>
      <c r="B23" s="540"/>
      <c r="C23" s="293">
        <v>1011</v>
      </c>
      <c r="D23" s="294">
        <f>SUM(D24:D32)</f>
        <v>29750.6</v>
      </c>
      <c r="E23" s="294">
        <f>SUM(E24:E32)</f>
        <v>25099</v>
      </c>
      <c r="F23" s="294">
        <f>SUM(F24:F32)</f>
        <v>31358.799999999996</v>
      </c>
      <c r="G23" s="295">
        <f t="shared" ref="G23:G86" si="4">F23-E23</f>
        <v>6259.7999999999956</v>
      </c>
      <c r="H23" s="295">
        <f t="shared" ref="H23:H86" si="5">(F23/E23)*100</f>
        <v>124.94043587393919</v>
      </c>
      <c r="I23" s="85"/>
      <c r="J23" s="15"/>
      <c r="K23" s="28"/>
    </row>
    <row r="24" spans="1:11" ht="36" customHeight="1">
      <c r="A24" s="223"/>
      <c r="B24" s="299" t="s">
        <v>171</v>
      </c>
      <c r="C24" s="300"/>
      <c r="D24" s="301">
        <f>'Розшифровка 2 до формування'!D133+'Розшифровка 2 до формування'!D158</f>
        <v>6708.8</v>
      </c>
      <c r="E24" s="81">
        <f>'Розшифровка 2 до формування'!E133+'Розшифровка 2 до формування'!E158</f>
        <v>5500</v>
      </c>
      <c r="F24" s="13">
        <f>'Розшифровка 2 до формування'!F133+'Розшифровка 2 до формування'!F158</f>
        <v>5801.6</v>
      </c>
      <c r="G24" s="10">
        <f t="shared" si="4"/>
        <v>301.60000000000036</v>
      </c>
      <c r="H24" s="10">
        <f t="shared" si="5"/>
        <v>105.48363636363638</v>
      </c>
      <c r="J24" s="15"/>
    </row>
    <row r="25" spans="1:11" ht="41.25" customHeight="1">
      <c r="A25" s="223"/>
      <c r="B25" s="299" t="s">
        <v>271</v>
      </c>
      <c r="C25" s="300"/>
      <c r="D25" s="301">
        <f>'Розшифровка 2 до формування'!D159</f>
        <v>1608.2</v>
      </c>
      <c r="E25" s="81">
        <f>'Розшифровка 2 до формування'!E159</f>
        <v>0</v>
      </c>
      <c r="F25" s="13">
        <f>'Розшифровка 2 до формування'!F159</f>
        <v>0</v>
      </c>
      <c r="G25" s="10">
        <f t="shared" si="4"/>
        <v>0</v>
      </c>
      <c r="H25" s="41" t="e">
        <f t="shared" si="5"/>
        <v>#DIV/0!</v>
      </c>
      <c r="J25" s="15"/>
    </row>
    <row r="26" spans="1:11" ht="32.25" customHeight="1">
      <c r="A26" s="223"/>
      <c r="B26" s="299" t="s">
        <v>528</v>
      </c>
      <c r="C26" s="300"/>
      <c r="D26" s="301">
        <f>'Розшифровка 2 до формування'!D157</f>
        <v>204.3</v>
      </c>
      <c r="E26" s="81">
        <f>'Розшифровка 2 до формування'!E157</f>
        <v>0</v>
      </c>
      <c r="F26" s="13">
        <f>'Розшифровка 2 до формування'!F157</f>
        <v>0</v>
      </c>
      <c r="G26" s="10">
        <f t="shared" si="4"/>
        <v>0</v>
      </c>
      <c r="H26" s="41" t="e">
        <f t="shared" si="5"/>
        <v>#DIV/0!</v>
      </c>
      <c r="J26" s="15"/>
    </row>
    <row r="27" spans="1:11" ht="29.25" customHeight="1">
      <c r="A27" s="223"/>
      <c r="B27" s="299" t="s">
        <v>231</v>
      </c>
      <c r="C27" s="300"/>
      <c r="D27" s="301">
        <f>'Розшифровка 2 до формування'!D156</f>
        <v>183</v>
      </c>
      <c r="E27" s="81">
        <f>'Розшифровка 2 до формування'!E156</f>
        <v>0</v>
      </c>
      <c r="F27" s="13">
        <f>'Розшифровка 2 до формування'!F156</f>
        <v>0</v>
      </c>
      <c r="G27" s="10">
        <f t="shared" si="4"/>
        <v>0</v>
      </c>
      <c r="H27" s="41" t="e">
        <f t="shared" si="5"/>
        <v>#DIV/0!</v>
      </c>
      <c r="J27" s="15"/>
    </row>
    <row r="28" spans="1:11" ht="32.25" customHeight="1">
      <c r="A28" s="223"/>
      <c r="B28" s="304" t="s">
        <v>186</v>
      </c>
      <c r="C28" s="300"/>
      <c r="D28" s="301">
        <f>'Розшифровка 2 до формування'!D11+'Розшифровка 2 до формування'!D61+'Розшифровка 2 до формування'!D135+'Розшифровка 2 до формування'!D189+'Розшифровка 2 до формування'!D216</f>
        <v>18030.699999999997</v>
      </c>
      <c r="E28" s="81">
        <f>'Розшифровка 2 до формування'!E11+'Розшифровка 2 до формування'!E61+'Розшифровка 2 до формування'!E135+'Розшифровка 2 до формування'!E189+'Розшифровка 2 до формування'!E216</f>
        <v>16710</v>
      </c>
      <c r="F28" s="13">
        <f>'Розшифровка 2 до формування'!F11+'Розшифровка 2 до формування'!F61+'Розшифровка 2 до формування'!F135+'Розшифровка 2 до формування'!F189+'Розшифровка 2 до формування'!F216</f>
        <v>22557.299999999996</v>
      </c>
      <c r="G28" s="10">
        <f t="shared" si="4"/>
        <v>5847.2999999999956</v>
      </c>
      <c r="H28" s="10">
        <f t="shared" si="5"/>
        <v>134.99281867145419</v>
      </c>
    </row>
    <row r="29" spans="1:11" ht="29.25" customHeight="1">
      <c r="A29" s="223"/>
      <c r="B29" s="299" t="s">
        <v>136</v>
      </c>
      <c r="C29" s="300"/>
      <c r="D29" s="301">
        <f>'Розшифровка 2 до формування'!D12+'Розшифровка 2 до формування'!D62+'Розшифровка 2 до формування'!D191</f>
        <v>1146.4000000000001</v>
      </c>
      <c r="E29" s="81">
        <f>'Розшифровка 2 до формування'!E12+'Розшифровка 2 до формування'!E62+'Розшифровка 2 до формування'!E191</f>
        <v>1222</v>
      </c>
      <c r="F29" s="13">
        <f>'Розшифровка 2 до формування'!F12+'Розшифровка 2 до формування'!F62+'Розшифровка 2 до формування'!F191</f>
        <v>1153.2</v>
      </c>
      <c r="G29" s="10">
        <f t="shared" si="4"/>
        <v>-68.799999999999955</v>
      </c>
      <c r="H29" s="10">
        <f t="shared" si="5"/>
        <v>94.369885433715226</v>
      </c>
    </row>
    <row r="30" spans="1:11" ht="31.5" customHeight="1">
      <c r="A30" s="223"/>
      <c r="B30" s="304" t="s">
        <v>168</v>
      </c>
      <c r="C30" s="300"/>
      <c r="D30" s="301">
        <f>'Розшифровка 2 до формування'!D15+'Розшифровка 2 до формування'!D63+'Розшифровка 2 до формування'!D134+'Розшифровка 2 до формування'!D190+'Розшифровка 2 до формування'!D217</f>
        <v>298.2</v>
      </c>
      <c r="E30" s="81">
        <f>'Розшифровка 2 до формування'!E15+'Розшифровка 2 до формування'!E63+'Розшифровка 2 до формування'!E134+'Розшифровка 2 до формування'!E190+'Розшифровка 2 до формування'!E217</f>
        <v>606</v>
      </c>
      <c r="F30" s="13">
        <f>'Розшифровка 2 до формування'!F15+'Розшифровка 2 до формування'!F63+'Розшифровка 2 до формування'!F134+'Розшифровка 2 до формування'!F190+'Розшифровка 2 до формування'!F217</f>
        <v>410.7</v>
      </c>
      <c r="G30" s="10">
        <f t="shared" si="4"/>
        <v>-195.3</v>
      </c>
      <c r="H30" s="10">
        <f t="shared" si="5"/>
        <v>67.772277227722768</v>
      </c>
    </row>
    <row r="31" spans="1:11" ht="63" customHeight="1">
      <c r="A31" s="17"/>
      <c r="B31" s="299" t="s">
        <v>187</v>
      </c>
      <c r="C31" s="308"/>
      <c r="D31" s="301">
        <f>'Розшифровка 2 до формування'!D13+'Розшифровка 2 до формування'!D64+'Розшифровка 2 до формування'!D119+'Розшифровка 2 до формування'!D193+'Розшифровка 2 до формування'!D218</f>
        <v>1357.1000000000001</v>
      </c>
      <c r="E31" s="81">
        <f>'Розшифровка 2 до формування'!E13+'Розшифровка 2 до формування'!E64+'Розшифровка 2 до формування'!E119+'Розшифровка 2 до формування'!E193+'Розшифровка 2 до формування'!E218</f>
        <v>770</v>
      </c>
      <c r="F31" s="13">
        <f>'Розшифровка 2 до формування'!F13+'Розшифровка 2 до формування'!F64+'Розшифровка 2 до формування'!F119+'Розшифровка 2 до формування'!F193+'Розшифровка 2 до формування'!F218</f>
        <v>1155.8</v>
      </c>
      <c r="G31" s="10">
        <f t="shared" si="4"/>
        <v>385.79999999999995</v>
      </c>
      <c r="H31" s="10">
        <f t="shared" si="5"/>
        <v>150.10389610389609</v>
      </c>
    </row>
    <row r="32" spans="1:11" ht="29.25" customHeight="1">
      <c r="A32" s="17"/>
      <c r="B32" s="299" t="s">
        <v>155</v>
      </c>
      <c r="C32" s="308"/>
      <c r="D32" s="301">
        <f>'Розшифровка 2 до формування'!D65+'Розшифровка 2 до формування'!D192+'Розшифровка 2 до формування'!D219+'Розшифровка 2 до формування'!D14</f>
        <v>213.9</v>
      </c>
      <c r="E32" s="81">
        <f>'Розшифровка 2 до формування'!E65+'Розшифровка 2 до формування'!E192+'Розшифровка 2 до формування'!E219+'Розшифровка 2 до формування'!E14</f>
        <v>291</v>
      </c>
      <c r="F32" s="13">
        <f>'Розшифровка 2 до формування'!F65+'Розшифровка 2 до формування'!F192+'Розшифровка 2 до формування'!F219+'Розшифровка 2 до формування'!F14</f>
        <v>280.2</v>
      </c>
      <c r="G32" s="10">
        <f t="shared" si="4"/>
        <v>-10.800000000000011</v>
      </c>
      <c r="H32" s="10">
        <f t="shared" si="5"/>
        <v>96.288659793814418</v>
      </c>
    </row>
    <row r="33" spans="1:11" ht="35.25" customHeight="1">
      <c r="A33" s="540" t="s">
        <v>80</v>
      </c>
      <c r="B33" s="540"/>
      <c r="C33" s="293">
        <v>1015</v>
      </c>
      <c r="D33" s="294">
        <f>SUM(D34:D65)</f>
        <v>13584.2</v>
      </c>
      <c r="E33" s="296">
        <f>SUM(E34:E65)</f>
        <v>17123.7</v>
      </c>
      <c r="F33" s="294">
        <f>SUM(F34:F65)</f>
        <v>16367.7</v>
      </c>
      <c r="G33" s="295">
        <f t="shared" si="4"/>
        <v>-756</v>
      </c>
      <c r="H33" s="295">
        <f t="shared" si="5"/>
        <v>95.585066311603214</v>
      </c>
      <c r="I33" s="85"/>
      <c r="J33" s="15"/>
      <c r="K33" s="15"/>
    </row>
    <row r="34" spans="1:11" ht="31.5" customHeight="1">
      <c r="A34" s="223"/>
      <c r="B34" s="310" t="s">
        <v>142</v>
      </c>
      <c r="C34" s="311"/>
      <c r="D34" s="312">
        <f>'Розшифровка 2 до формування'!D20+'Розшифровка 2 до формування'!D70+'Розшифровка 2 до формування'!D197</f>
        <v>87.100000000000009</v>
      </c>
      <c r="E34" s="13">
        <f>'Розшифровка 2 до формування'!E20+'Розшифровка 2 до формування'!E70+'Розшифровка 2 до формування'!E197</f>
        <v>75</v>
      </c>
      <c r="F34" s="13">
        <f>'Розшифровка 2 до формування'!F20+'Розшифровка 2 до формування'!F70+'Розшифровка 2 до формування'!F197</f>
        <v>53.099999999999994</v>
      </c>
      <c r="G34" s="10">
        <f t="shared" si="4"/>
        <v>-21.900000000000006</v>
      </c>
      <c r="H34" s="10">
        <f t="shared" si="5"/>
        <v>70.8</v>
      </c>
      <c r="K34" s="15"/>
    </row>
    <row r="35" spans="1:11" ht="30" customHeight="1">
      <c r="A35" s="223"/>
      <c r="B35" s="317" t="s">
        <v>143</v>
      </c>
      <c r="C35" s="311"/>
      <c r="D35" s="312">
        <f>'Розшифровка 2 до формування'!D21+'Розшифровка 2 до формування'!D172</f>
        <v>447.9</v>
      </c>
      <c r="E35" s="13">
        <f>'Розшифровка 2 до формування'!E21+'Розшифровка 2 до формування'!E172</f>
        <v>682</v>
      </c>
      <c r="F35" s="13">
        <f>'Розшифровка 2 до формування'!F21+'Розшифровка 2 до формування'!F172</f>
        <v>841.6</v>
      </c>
      <c r="G35" s="10">
        <f t="shared" si="4"/>
        <v>159.60000000000002</v>
      </c>
      <c r="H35" s="10">
        <f t="shared" si="5"/>
        <v>123.40175953079179</v>
      </c>
    </row>
    <row r="36" spans="1:11" ht="25.5" customHeight="1">
      <c r="A36" s="223"/>
      <c r="B36" s="317" t="s">
        <v>144</v>
      </c>
      <c r="C36" s="311"/>
      <c r="D36" s="312">
        <f>'Розшифровка 2 до формування'!D22</f>
        <v>105.7</v>
      </c>
      <c r="E36" s="13">
        <f>'Розшифровка 2 до формування'!E22</f>
        <v>90</v>
      </c>
      <c r="F36" s="13">
        <f>'Розшифровка 2 до формування'!F22</f>
        <v>92.5</v>
      </c>
      <c r="G36" s="10">
        <f t="shared" si="4"/>
        <v>2.5</v>
      </c>
      <c r="H36" s="10">
        <f t="shared" si="5"/>
        <v>102.77777777777777</v>
      </c>
    </row>
    <row r="37" spans="1:11" ht="27.75" customHeight="1">
      <c r="A37" s="223"/>
      <c r="B37" s="317" t="s">
        <v>145</v>
      </c>
      <c r="C37" s="311"/>
      <c r="D37" s="312">
        <f>'Розшифровка 2 до формування'!D23+'Розшифровка 2 до формування'!D173+'Розшифровка 2 до формування'!D196+'Розшифровка 2 до формування'!D222</f>
        <v>177.5</v>
      </c>
      <c r="E37" s="13">
        <f>'Розшифровка 2 до формування'!E23+'Розшифровка 2 до формування'!E173+'Розшифровка 2 до формування'!E196+'Розшифровка 2 до формування'!E222</f>
        <v>2330</v>
      </c>
      <c r="F37" s="13">
        <f>'Розшифровка 2 до формування'!F23+'Розшифровка 2 до формування'!F173+'Розшифровка 2 до формування'!F196+'Розшифровка 2 до формування'!F222</f>
        <v>313.5</v>
      </c>
      <c r="G37" s="10">
        <f t="shared" si="4"/>
        <v>-2016.5</v>
      </c>
      <c r="H37" s="10">
        <f t="shared" si="5"/>
        <v>13.454935622317596</v>
      </c>
    </row>
    <row r="38" spans="1:11" ht="27.75" customHeight="1">
      <c r="A38" s="223"/>
      <c r="B38" s="317" t="s">
        <v>252</v>
      </c>
      <c r="C38" s="311"/>
      <c r="D38" s="312">
        <f>'Розшифровка 2 до формування'!D24</f>
        <v>0</v>
      </c>
      <c r="E38" s="13">
        <f>'Розшифровка 2 до формування'!E24</f>
        <v>400</v>
      </c>
      <c r="F38" s="13">
        <f>'Розшифровка 2 до формування'!F24</f>
        <v>0</v>
      </c>
      <c r="G38" s="10">
        <f t="shared" si="4"/>
        <v>-400</v>
      </c>
      <c r="H38" s="10">
        <f t="shared" si="5"/>
        <v>0</v>
      </c>
    </row>
    <row r="39" spans="1:11" ht="27.75" customHeight="1">
      <c r="A39" s="223"/>
      <c r="B39" s="317" t="s">
        <v>250</v>
      </c>
      <c r="C39" s="311"/>
      <c r="D39" s="312">
        <f>'Розшифровка 2 до формування'!D25+'Розшифровка 2 до формування'!D198</f>
        <v>0</v>
      </c>
      <c r="E39" s="13">
        <f>'Розшифровка 2 до формування'!E25+'Розшифровка 2 до формування'!E198</f>
        <v>0</v>
      </c>
      <c r="F39" s="13">
        <f>'Розшифровка 2 до формування'!F25+'Розшифровка 2 до формування'!F198</f>
        <v>289.79999999999995</v>
      </c>
      <c r="G39" s="10">
        <f t="shared" si="4"/>
        <v>289.79999999999995</v>
      </c>
      <c r="H39" s="41" t="e">
        <f t="shared" si="5"/>
        <v>#DIV/0!</v>
      </c>
    </row>
    <row r="40" spans="1:11" ht="44.25" customHeight="1">
      <c r="A40" s="223"/>
      <c r="B40" s="317" t="s">
        <v>169</v>
      </c>
      <c r="C40" s="311"/>
      <c r="D40" s="312">
        <f>'Розшифровка 2 до формування'!D28+'Розшифровка 2 до формування'!D74+'Розшифровка 2 до формування'!D122+'Розшифровка 2 до формування'!D202+'Розшифровка 2 до формування'!D225</f>
        <v>92.5</v>
      </c>
      <c r="E40" s="13">
        <f>'Розшифровка 2 до формування'!E28+'Розшифровка 2 до формування'!E74+'Розшифровка 2 до формування'!E122+'Розшифровка 2 до формування'!E202+'Розшифровка 2 до формування'!E225</f>
        <v>100</v>
      </c>
      <c r="F40" s="13">
        <f>'Розшифровка 2 до формування'!F28+'Розшифровка 2 до формування'!F74+'Розшифровка 2 до формування'!F122+'Розшифровка 2 до формування'!F202+'Розшифровка 2 до формування'!F225</f>
        <v>552.9</v>
      </c>
      <c r="G40" s="10">
        <f t="shared" si="4"/>
        <v>452.9</v>
      </c>
      <c r="H40" s="10">
        <f t="shared" si="5"/>
        <v>552.9</v>
      </c>
      <c r="I40" s="85"/>
    </row>
    <row r="41" spans="1:11" ht="44.25" customHeight="1">
      <c r="A41" s="223"/>
      <c r="B41" s="310" t="s">
        <v>146</v>
      </c>
      <c r="C41" s="311"/>
      <c r="D41" s="312">
        <f>'Розшифровка 2 до формування'!D26+'Розшифровка 2 до формування'!D71+'Розшифровка 2 до формування'!D137+'Розшифровка 2 до формування'!D201+'Розшифровка 2 до формування'!D224+'Розшифровка 2 до формування'!D171</f>
        <v>961.2</v>
      </c>
      <c r="E41" s="13">
        <f>'Розшифровка 2 до формування'!E26+'Розшифровка 2 до формування'!E71+'Розшифровка 2 до формування'!E137+'Розшифровка 2 до формування'!E201+'Розшифровка 2 до формування'!E224+'Розшифровка 2 до формування'!E171</f>
        <v>1786</v>
      </c>
      <c r="F41" s="13">
        <f>'Розшифровка 2 до формування'!F26+'Розшифровка 2 до формування'!F71+'Розшифровка 2 до формування'!F137+'Розшифровка 2 до формування'!F201+'Розшифровка 2 до формування'!F224+'Розшифровка 2 до формування'!F171</f>
        <v>1473.8</v>
      </c>
      <c r="G41" s="10">
        <f t="shared" si="4"/>
        <v>-312.20000000000005</v>
      </c>
      <c r="H41" s="10">
        <f t="shared" si="5"/>
        <v>82.519596864501679</v>
      </c>
    </row>
    <row r="42" spans="1:11" ht="28.5" customHeight="1">
      <c r="A42" s="18"/>
      <c r="B42" s="310" t="s">
        <v>147</v>
      </c>
      <c r="C42" s="314"/>
      <c r="D42" s="312">
        <f>'Розшифровка 2 до формування'!D203+'Розшифровка 2 до формування'!D27</f>
        <v>165.8</v>
      </c>
      <c r="E42" s="13">
        <f>'Розшифровка 2 до формування'!E203+'Розшифровка 2 до формування'!E27</f>
        <v>200</v>
      </c>
      <c r="F42" s="13">
        <f>'Розшифровка 2 до формування'!F203+'Розшифровка 2 до формування'!F27</f>
        <v>105.4</v>
      </c>
      <c r="G42" s="10">
        <f t="shared" si="4"/>
        <v>-94.6</v>
      </c>
      <c r="H42" s="10">
        <f t="shared" si="5"/>
        <v>52.7</v>
      </c>
    </row>
    <row r="43" spans="1:11" ht="28.5" customHeight="1">
      <c r="A43" s="18"/>
      <c r="B43" s="310" t="s">
        <v>217</v>
      </c>
      <c r="C43" s="314"/>
      <c r="D43" s="312">
        <f>'Розшифровка 2 до формування'!D29+'Розшифровка 2 до формування'!D72</f>
        <v>35.1</v>
      </c>
      <c r="E43" s="13">
        <f>'Розшифровка 2 до формування'!E29+'Розшифровка 2 до формування'!E72</f>
        <v>36</v>
      </c>
      <c r="F43" s="13">
        <f>'Розшифровка 2 до формування'!F29+'Розшифровка 2 до формування'!F72</f>
        <v>39.299999999999997</v>
      </c>
      <c r="G43" s="10">
        <f t="shared" si="4"/>
        <v>3.2999999999999972</v>
      </c>
      <c r="H43" s="10">
        <f t="shared" si="5"/>
        <v>109.16666666666666</v>
      </c>
    </row>
    <row r="44" spans="1:11" ht="27" customHeight="1">
      <c r="A44" s="18"/>
      <c r="B44" s="310" t="s">
        <v>156</v>
      </c>
      <c r="C44" s="314"/>
      <c r="D44" s="312">
        <f>'Розшифровка 2 до формування'!D36+'Розшифровка 2 до формування'!D73+'Розшифровка 2 до формування'!D228</f>
        <v>5.3</v>
      </c>
      <c r="E44" s="13">
        <f>'Розшифровка 2 до формування'!E36+'Розшифровка 2 до формування'!E73+'Розшифровка 2 до формування'!E228</f>
        <v>4</v>
      </c>
      <c r="F44" s="13">
        <f>'Розшифровка 2 до формування'!F36+'Розшифровка 2 до формування'!F73+'Розшифровка 2 до формування'!F228</f>
        <v>7.1999999999999993</v>
      </c>
      <c r="G44" s="10">
        <f t="shared" si="4"/>
        <v>3.1999999999999993</v>
      </c>
      <c r="H44" s="10">
        <f t="shared" si="5"/>
        <v>179.99999999999997</v>
      </c>
    </row>
    <row r="45" spans="1:11" ht="28.5" customHeight="1">
      <c r="A45" s="18"/>
      <c r="B45" s="317" t="s">
        <v>188</v>
      </c>
      <c r="C45" s="314"/>
      <c r="D45" s="312">
        <f>'Розшифровка 2 до формування'!D33+'Розшифровка 2 до формування'!D75+'Розшифровка 2 до формування'!D121+'Розшифровка 2 до формування'!D230</f>
        <v>108.2</v>
      </c>
      <c r="E45" s="13">
        <f>'Розшифровка 2 до формування'!E33+'Розшифровка 2 до формування'!E75+'Розшифровка 2 до формування'!E121+'Розшифровка 2 до формування'!E230</f>
        <v>132</v>
      </c>
      <c r="F45" s="13">
        <f>'Розшифровка 2 до формування'!F33+'Розшифровка 2 до формування'!F75+'Розшифровка 2 до формування'!F121+'Розшифровка 2 до формування'!F230</f>
        <v>180</v>
      </c>
      <c r="G45" s="10">
        <f t="shared" si="4"/>
        <v>48</v>
      </c>
      <c r="H45" s="10">
        <f t="shared" si="5"/>
        <v>136.36363636363635</v>
      </c>
    </row>
    <row r="46" spans="1:11" ht="28.5" customHeight="1">
      <c r="A46" s="18"/>
      <c r="B46" s="317" t="s">
        <v>149</v>
      </c>
      <c r="C46" s="314"/>
      <c r="D46" s="312">
        <f>'Розшифровка 2 до формування'!D223</f>
        <v>11.4</v>
      </c>
      <c r="E46" s="13">
        <f>'Розшифровка 2 до формування'!E223</f>
        <v>0</v>
      </c>
      <c r="F46" s="13">
        <f>'Розшифровка 2 до формування'!F223</f>
        <v>9.6000000000000014</v>
      </c>
      <c r="G46" s="10">
        <f t="shared" si="4"/>
        <v>9.6000000000000014</v>
      </c>
      <c r="H46" s="41" t="e">
        <f t="shared" si="5"/>
        <v>#DIV/0!</v>
      </c>
    </row>
    <row r="47" spans="1:11" ht="41.25" customHeight="1">
      <c r="A47" s="18"/>
      <c r="B47" s="310" t="s">
        <v>158</v>
      </c>
      <c r="C47" s="314"/>
      <c r="D47" s="312">
        <f>'Розшифровка 2 до формування'!D31+'Розшифровка 2 до формування'!D76+'Розшифровка 2 до формування'!D226</f>
        <v>48.8</v>
      </c>
      <c r="E47" s="13">
        <f>'Розшифровка 2 до формування'!E31+'Розшифровка 2 до формування'!E76+'Розшифровка 2 до формування'!E226</f>
        <v>72</v>
      </c>
      <c r="F47" s="13">
        <f>'Розшифровка 2 до формування'!F31+'Розшифровка 2 до формування'!F76+'Розшифровка 2 до формування'!F226</f>
        <v>217.1</v>
      </c>
      <c r="G47" s="10">
        <f t="shared" si="4"/>
        <v>145.1</v>
      </c>
      <c r="H47" s="10">
        <f t="shared" si="5"/>
        <v>301.52777777777777</v>
      </c>
    </row>
    <row r="48" spans="1:11" ht="45.75" customHeight="1">
      <c r="A48" s="18"/>
      <c r="B48" s="310" t="s">
        <v>160</v>
      </c>
      <c r="C48" s="314"/>
      <c r="D48" s="312">
        <f>'Розшифровка 2 до формування'!D30+'Розшифровка 2 до формування'!D88</f>
        <v>93.6</v>
      </c>
      <c r="E48" s="13">
        <f>'Розшифровка 2 до формування'!E30+'Розшифровка 2 до формування'!E88</f>
        <v>198</v>
      </c>
      <c r="F48" s="13">
        <f>'Розшифровка 2 до формування'!F30+'Розшифровка 2 до формування'!F88</f>
        <v>213.2</v>
      </c>
      <c r="G48" s="10">
        <f t="shared" si="4"/>
        <v>15.199999999999989</v>
      </c>
      <c r="H48" s="10">
        <f t="shared" si="5"/>
        <v>107.67676767676768</v>
      </c>
    </row>
    <row r="49" spans="1:14" ht="48" customHeight="1">
      <c r="A49" s="18"/>
      <c r="B49" s="310" t="s">
        <v>272</v>
      </c>
      <c r="C49" s="314"/>
      <c r="D49" s="312">
        <f>'Розшифровка 2 до формування'!D79+'Розшифровка 2 до формування'!D200+'Розшифровка 2 до формування'!D227</f>
        <v>0.8</v>
      </c>
      <c r="E49" s="13">
        <f>'Розшифровка 2 до формування'!E79+'Розшифровка 2 до формування'!E200+'Розшифровка 2 до формування'!E227</f>
        <v>10</v>
      </c>
      <c r="F49" s="13">
        <f>'Розшифровка 2 до формування'!F79+'Розшифровка 2 до формування'!F200+'Розшифровка 2 до формування'!F227</f>
        <v>5.7</v>
      </c>
      <c r="G49" s="10">
        <f t="shared" si="4"/>
        <v>-4.3</v>
      </c>
      <c r="H49" s="10">
        <f t="shared" si="5"/>
        <v>57.000000000000007</v>
      </c>
    </row>
    <row r="50" spans="1:14" ht="33" customHeight="1">
      <c r="A50" s="18"/>
      <c r="B50" s="310" t="s">
        <v>397</v>
      </c>
      <c r="C50" s="314"/>
      <c r="D50" s="312">
        <f>'Розшифровка 2 до формування'!D80</f>
        <v>0</v>
      </c>
      <c r="E50" s="13">
        <f>'Розшифровка 2 до формування'!E80</f>
        <v>1.5</v>
      </c>
      <c r="F50" s="13">
        <f>'Розшифровка 2 до формування'!F80</f>
        <v>5.7</v>
      </c>
      <c r="G50" s="10">
        <f t="shared" si="4"/>
        <v>4.2</v>
      </c>
      <c r="H50" s="10">
        <f t="shared" si="5"/>
        <v>380</v>
      </c>
    </row>
    <row r="51" spans="1:14" ht="27.75" customHeight="1">
      <c r="A51" s="18"/>
      <c r="B51" s="322" t="s">
        <v>189</v>
      </c>
      <c r="C51" s="314"/>
      <c r="D51" s="312">
        <f>'Розшифровка 2 до формування'!D32+'Розшифровка 2 до формування'!D78+'Розшифровка 2 до формування'!D138+'Розшифровка 2 до формування'!D174+'Розшифровка 2 до формування'!D199</f>
        <v>3220.7000000000003</v>
      </c>
      <c r="E51" s="13">
        <f>'Розшифровка 2 до формування'!E32+'Розшифровка 2 до формування'!E78+'Розшифровка 2 до формування'!E138+'Розшифровка 2 до формування'!E174+'Розшифровка 2 до формування'!E199</f>
        <v>570</v>
      </c>
      <c r="F51" s="13">
        <f>'Розшифровка 2 до формування'!F32+'Розшифровка 2 до формування'!F78+'Розшифровка 2 до формування'!F138+'Розшифровка 2 до формування'!F174+'Розшифровка 2 до формування'!F199</f>
        <v>1433.5</v>
      </c>
      <c r="G51" s="10">
        <f t="shared" si="4"/>
        <v>863.5</v>
      </c>
      <c r="H51" s="10">
        <f t="shared" si="5"/>
        <v>251.49122807017545</v>
      </c>
      <c r="N51" s="15"/>
    </row>
    <row r="52" spans="1:14" ht="30.75" customHeight="1">
      <c r="A52" s="18"/>
      <c r="B52" s="317" t="s">
        <v>201</v>
      </c>
      <c r="C52" s="314"/>
      <c r="D52" s="312">
        <f>'Розшифровка 2 до формування'!D77+'Розшифровка 2 до формування'!D231</f>
        <v>32.299999999999997</v>
      </c>
      <c r="E52" s="13">
        <f>'Розшифровка 2 до формування'!E77+'Розшифровка 2 до формування'!E231</f>
        <v>50</v>
      </c>
      <c r="F52" s="13">
        <f>'Розшифровка 2 до формування'!F77+'Розшифровка 2 до формування'!F231</f>
        <v>57.1</v>
      </c>
      <c r="G52" s="10">
        <f t="shared" si="4"/>
        <v>7.1000000000000014</v>
      </c>
      <c r="H52" s="10">
        <f t="shared" si="5"/>
        <v>114.20000000000002</v>
      </c>
    </row>
    <row r="53" spans="1:14" ht="30" customHeight="1">
      <c r="A53" s="18"/>
      <c r="B53" s="310" t="s">
        <v>162</v>
      </c>
      <c r="C53" s="314"/>
      <c r="D53" s="312">
        <f>'Розшифровка 2 до формування'!D84+'Розшифровка 2 до формування'!D139</f>
        <v>5732.4</v>
      </c>
      <c r="E53" s="13">
        <f>'Розшифровка 2 до формування'!E84+'Розшифровка 2 до формування'!E139</f>
        <v>7485</v>
      </c>
      <c r="F53" s="13">
        <f>'Розшифровка 2 до формування'!F84+'Розшифровка 2 до формування'!F139</f>
        <v>6525.2</v>
      </c>
      <c r="G53" s="10">
        <f t="shared" si="4"/>
        <v>-959.80000000000018</v>
      </c>
      <c r="H53" s="10">
        <f t="shared" si="5"/>
        <v>87.177020708082836</v>
      </c>
    </row>
    <row r="54" spans="1:14" ht="31.5" customHeight="1">
      <c r="A54" s="18"/>
      <c r="B54" s="323" t="s">
        <v>163</v>
      </c>
      <c r="C54" s="314"/>
      <c r="D54" s="312">
        <f>'Розшифровка 2 до формування'!D85+'Розшифровка 2 до формування'!D140</f>
        <v>432.6</v>
      </c>
      <c r="E54" s="13">
        <f>'Розшифровка 2 до формування'!E85+'Розшифровка 2 до формування'!E140</f>
        <v>425.8</v>
      </c>
      <c r="F54" s="13">
        <f>'Розшифровка 2 до формування'!F85+'Розшифровка 2 до формування'!F140</f>
        <v>696.6</v>
      </c>
      <c r="G54" s="10">
        <f t="shared" si="4"/>
        <v>270.8</v>
      </c>
      <c r="H54" s="10">
        <f t="shared" si="5"/>
        <v>163.59793330201973</v>
      </c>
      <c r="K54" s="24"/>
    </row>
    <row r="55" spans="1:14" ht="32.25" customHeight="1">
      <c r="A55" s="18"/>
      <c r="B55" s="323" t="s">
        <v>164</v>
      </c>
      <c r="C55" s="314"/>
      <c r="D55" s="312">
        <f>'Розшифровка 2 до формування'!D86+'Розшифровка 2 до формування'!D141+'Розшифровка 2 до формування'!D204</f>
        <v>1490.6</v>
      </c>
      <c r="E55" s="13">
        <f>'Розшифровка 2 до формування'!E86+'Розшифровка 2 до формування'!E141+'Розшифровка 2 до формування'!E204</f>
        <v>2178.1999999999998</v>
      </c>
      <c r="F55" s="13">
        <f>'Розшифровка 2 до формування'!F86+'Розшифровка 2 до формування'!F141+'Розшифровка 2 до формування'!F204</f>
        <v>2835.4</v>
      </c>
      <c r="G55" s="10">
        <f t="shared" si="4"/>
        <v>657.20000000000027</v>
      </c>
      <c r="H55" s="10">
        <f t="shared" si="5"/>
        <v>130.17170140482969</v>
      </c>
      <c r="K55" s="24"/>
    </row>
    <row r="56" spans="1:14" ht="32.25" customHeight="1">
      <c r="A56" s="18"/>
      <c r="B56" s="323" t="s">
        <v>247</v>
      </c>
      <c r="C56" s="314"/>
      <c r="D56" s="312">
        <f>'Розшифровка 2 до формування'!D142</f>
        <v>0</v>
      </c>
      <c r="E56" s="13">
        <f>'Розшифровка 2 до формування'!E142</f>
        <v>13.3</v>
      </c>
      <c r="F56" s="13">
        <f>'Розшифровка 2 до формування'!F142</f>
        <v>0</v>
      </c>
      <c r="G56" s="10">
        <f t="shared" si="4"/>
        <v>-13.3</v>
      </c>
      <c r="H56" s="10">
        <f t="shared" si="5"/>
        <v>0</v>
      </c>
      <c r="K56" s="24"/>
    </row>
    <row r="57" spans="1:14" ht="27.75" customHeight="1">
      <c r="A57" s="18"/>
      <c r="B57" s="323" t="s">
        <v>165</v>
      </c>
      <c r="C57" s="314"/>
      <c r="D57" s="312">
        <f>'Розшифровка 2 до формування'!D87+'Розшифровка 2 до формування'!D143+'Розшифровка 2 до формування'!D205</f>
        <v>245.79999999999998</v>
      </c>
      <c r="E57" s="13">
        <f>'Розшифровка 2 до формування'!E87+'Розшифровка 2 до формування'!E143+'Розшифровка 2 до формування'!E205</f>
        <v>246.9</v>
      </c>
      <c r="F57" s="13">
        <f>'Розшифровка 2 до формування'!F87+'Розшифровка 2 до формування'!F143+'Розшифровка 2 до формування'!F205</f>
        <v>269.79999999999995</v>
      </c>
      <c r="G57" s="10">
        <f t="shared" si="4"/>
        <v>22.899999999999949</v>
      </c>
      <c r="H57" s="10">
        <f t="shared" si="5"/>
        <v>109.27501012555689</v>
      </c>
      <c r="K57" s="24"/>
    </row>
    <row r="58" spans="1:14" ht="43.5" customHeight="1">
      <c r="A58" s="18"/>
      <c r="B58" s="315" t="s">
        <v>273</v>
      </c>
      <c r="C58" s="314"/>
      <c r="D58" s="312">
        <f>'Розшифровка 2 до формування'!D82</f>
        <v>13.6</v>
      </c>
      <c r="E58" s="13">
        <f>'Розшифровка 2 до формування'!E82</f>
        <v>0</v>
      </c>
      <c r="F58" s="13">
        <f>'Розшифровка 2 до формування'!F82</f>
        <v>0</v>
      </c>
      <c r="G58" s="10">
        <f t="shared" si="4"/>
        <v>0</v>
      </c>
      <c r="H58" s="41" t="e">
        <f t="shared" si="5"/>
        <v>#DIV/0!</v>
      </c>
      <c r="K58" s="24"/>
    </row>
    <row r="59" spans="1:14" ht="33.75" customHeight="1">
      <c r="A59" s="18"/>
      <c r="B59" s="315" t="s">
        <v>220</v>
      </c>
      <c r="C59" s="314"/>
      <c r="D59" s="312">
        <f>'Розшифровка 2 до формування'!D81</f>
        <v>1.5</v>
      </c>
      <c r="E59" s="13">
        <f>'Розшифровка 2 до формування'!E81</f>
        <v>0</v>
      </c>
      <c r="F59" s="13">
        <f>'Розшифровка 2 до формування'!F81</f>
        <v>0</v>
      </c>
      <c r="G59" s="10">
        <f t="shared" si="4"/>
        <v>0</v>
      </c>
      <c r="H59" s="41" t="e">
        <f t="shared" si="5"/>
        <v>#DIV/0!</v>
      </c>
      <c r="K59" s="24"/>
    </row>
    <row r="60" spans="1:14" ht="44.25" customHeight="1">
      <c r="A60" s="18"/>
      <c r="B60" s="315" t="s">
        <v>363</v>
      </c>
      <c r="C60" s="314"/>
      <c r="D60" s="312">
        <f>'Розшифровка 2 до формування'!D35</f>
        <v>26.7</v>
      </c>
      <c r="E60" s="13">
        <f>'Розшифровка 2 до формування'!E35</f>
        <v>0</v>
      </c>
      <c r="F60" s="13">
        <f>'Розшифровка 2 до формування'!F35</f>
        <v>0</v>
      </c>
      <c r="G60" s="10">
        <f t="shared" si="4"/>
        <v>0</v>
      </c>
      <c r="H60" s="41" t="e">
        <f t="shared" si="5"/>
        <v>#DIV/0!</v>
      </c>
      <c r="I60" s="282"/>
      <c r="K60" s="24"/>
    </row>
    <row r="61" spans="1:14" ht="33.75" customHeight="1">
      <c r="A61" s="18"/>
      <c r="B61" s="315" t="s">
        <v>248</v>
      </c>
      <c r="C61" s="314"/>
      <c r="D61" s="312">
        <f>'Розшифровка 2 до формування'!D175</f>
        <v>1.2</v>
      </c>
      <c r="E61" s="13">
        <f>'Розшифровка 2 до формування'!E175</f>
        <v>0</v>
      </c>
      <c r="F61" s="13">
        <f>'Розшифровка 2 до формування'!F175</f>
        <v>0</v>
      </c>
      <c r="G61" s="10">
        <f t="shared" si="4"/>
        <v>0</v>
      </c>
      <c r="H61" s="41" t="e">
        <f t="shared" si="5"/>
        <v>#DIV/0!</v>
      </c>
      <c r="K61" s="24"/>
    </row>
    <row r="62" spans="1:14" ht="33.75" customHeight="1">
      <c r="A62" s="18"/>
      <c r="B62" s="315" t="s">
        <v>631</v>
      </c>
      <c r="C62" s="314"/>
      <c r="D62" s="312">
        <f>'Розшифровка 2 до формування'!D89</f>
        <v>0</v>
      </c>
      <c r="E62" s="13">
        <f>'Розшифровка 2 до формування'!E89</f>
        <v>0</v>
      </c>
      <c r="F62" s="13">
        <f>'Розшифровка 2 до формування'!F89</f>
        <v>55.6</v>
      </c>
      <c r="G62" s="10">
        <f t="shared" si="4"/>
        <v>55.6</v>
      </c>
      <c r="H62" s="41" t="e">
        <f t="shared" si="5"/>
        <v>#DIV/0!</v>
      </c>
      <c r="K62" s="24"/>
    </row>
    <row r="63" spans="1:14" ht="33" customHeight="1">
      <c r="A63" s="18"/>
      <c r="B63" s="317" t="s">
        <v>202</v>
      </c>
      <c r="C63" s="314"/>
      <c r="D63" s="312">
        <f>'Розшифровка 2 до формування'!D37+'Розшифровка 2 до формування'!D90+'Розшифровка 2 до формування'!D229</f>
        <v>17.2</v>
      </c>
      <c r="E63" s="13">
        <f>'Розшифровка 2 до формування'!E37+'Розшифровка 2 до формування'!E90+'Розшифровка 2 до формування'!E229</f>
        <v>15</v>
      </c>
      <c r="F63" s="13">
        <f>'Розшифровка 2 до формування'!F37+'Розшифровка 2 до формування'!F90+'Розшифровка 2 до формування'!F229</f>
        <v>59.699999999999996</v>
      </c>
      <c r="G63" s="10">
        <f t="shared" si="4"/>
        <v>44.699999999999996</v>
      </c>
      <c r="H63" s="10">
        <f t="shared" si="5"/>
        <v>397.99999999999994</v>
      </c>
      <c r="K63" s="24"/>
      <c r="L63" s="15"/>
    </row>
    <row r="64" spans="1:14" ht="31.5" customHeight="1">
      <c r="A64" s="18"/>
      <c r="B64" s="323" t="s">
        <v>204</v>
      </c>
      <c r="C64" s="314"/>
      <c r="D64" s="312">
        <f>'Розшифровка 2 до формування'!D83</f>
        <v>5.8</v>
      </c>
      <c r="E64" s="13">
        <f>'Розшифровка 2 до формування'!E83</f>
        <v>8</v>
      </c>
      <c r="F64" s="13">
        <f>'Розшифровка 2 до формування'!F83</f>
        <v>3.8</v>
      </c>
      <c r="G64" s="10">
        <f t="shared" si="4"/>
        <v>-4.2</v>
      </c>
      <c r="H64" s="10">
        <f t="shared" si="5"/>
        <v>47.5</v>
      </c>
    </row>
    <row r="65" spans="1:13" ht="31.5" customHeight="1">
      <c r="A65" s="18"/>
      <c r="B65" s="323" t="s">
        <v>243</v>
      </c>
      <c r="C65" s="314"/>
      <c r="D65" s="312">
        <f>'Розшифровка 2 до формування'!D34+'Розшифровка 2 до формування'!D91</f>
        <v>22.9</v>
      </c>
      <c r="E65" s="13">
        <f>'Розшифровка 2 до формування'!E34+'Розшифровка 2 до формування'!E91</f>
        <v>15</v>
      </c>
      <c r="F65" s="13">
        <f>'Розшифровка 2 до формування'!F34+'Розшифровка 2 до формування'!F91</f>
        <v>30.6</v>
      </c>
      <c r="G65" s="10">
        <f t="shared" si="4"/>
        <v>15.600000000000001</v>
      </c>
      <c r="H65" s="10">
        <f t="shared" si="5"/>
        <v>204</v>
      </c>
    </row>
    <row r="66" spans="1:13" s="4" customFormat="1" ht="39" customHeight="1">
      <c r="A66" s="533" t="s">
        <v>81</v>
      </c>
      <c r="B66" s="533"/>
      <c r="C66" s="20"/>
      <c r="D66" s="9"/>
      <c r="E66" s="9"/>
      <c r="F66" s="9"/>
      <c r="G66" s="10"/>
      <c r="H66" s="10"/>
      <c r="I66" s="65"/>
    </row>
    <row r="67" spans="1:13" s="4" customFormat="1" ht="32.25" customHeight="1">
      <c r="A67" s="540" t="s">
        <v>79</v>
      </c>
      <c r="B67" s="540"/>
      <c r="C67" s="293">
        <v>1021</v>
      </c>
      <c r="D67" s="294">
        <f>SUM(D68:D70)</f>
        <v>113.4</v>
      </c>
      <c r="E67" s="294">
        <f>SUM(E68:E70)</f>
        <v>15</v>
      </c>
      <c r="F67" s="294">
        <f>SUM(F68:F70)</f>
        <v>61.4</v>
      </c>
      <c r="G67" s="297">
        <f t="shared" si="4"/>
        <v>46.4</v>
      </c>
      <c r="H67" s="297">
        <f t="shared" si="5"/>
        <v>409.33333333333326</v>
      </c>
      <c r="I67" s="65"/>
    </row>
    <row r="68" spans="1:13" s="4" customFormat="1" ht="63" customHeight="1">
      <c r="A68" s="223"/>
      <c r="B68" s="351" t="s">
        <v>187</v>
      </c>
      <c r="C68" s="352"/>
      <c r="D68" s="353">
        <f>'Розшифровка 2 до формування'!D42+'Розшифровка 2 до формування'!D235+'Розшифровка 2 до формування'!D96</f>
        <v>17.2</v>
      </c>
      <c r="E68" s="13">
        <f>'Розшифровка 2 до формування'!E42+'Розшифровка 2 до формування'!E235+'Розшифровка 2 до формування'!E96</f>
        <v>15</v>
      </c>
      <c r="F68" s="13">
        <f>'Розшифровка 2 до формування'!F42+'Розшифровка 2 до формування'!F235+'Розшифровка 2 до формування'!F96</f>
        <v>0</v>
      </c>
      <c r="G68" s="10">
        <f t="shared" si="4"/>
        <v>-15</v>
      </c>
      <c r="H68" s="10">
        <f t="shared" si="5"/>
        <v>0</v>
      </c>
      <c r="I68" s="65"/>
      <c r="K68" s="21"/>
    </row>
    <row r="69" spans="1:13" s="4" customFormat="1" ht="35.25" customHeight="1">
      <c r="A69" s="223"/>
      <c r="B69" s="351" t="s">
        <v>168</v>
      </c>
      <c r="C69" s="352"/>
      <c r="D69" s="353">
        <f>'Розшифровка 2 до формування'!D95+'Розшифровка 2 до формування'!D40+'Розшифровка 2 до формування'!D146+'Розшифровка 2 до формування'!D208</f>
        <v>28.599999999999998</v>
      </c>
      <c r="E69" s="13">
        <f>'Розшифровка 2 до формування'!E95+'Розшифровка 2 до формування'!E40+'Розшифровка 2 до формування'!E146+'Розшифровка 2 до формування'!E208</f>
        <v>0</v>
      </c>
      <c r="F69" s="13">
        <f>'Розшифровка 2 до формування'!F95+'Розшифровка 2 до формування'!F40+'Розшифровка 2 до формування'!F146+'Розшифровка 2 до формування'!F208</f>
        <v>61.4</v>
      </c>
      <c r="G69" s="10">
        <f t="shared" si="4"/>
        <v>61.4</v>
      </c>
      <c r="H69" s="41" t="e">
        <f t="shared" si="5"/>
        <v>#DIV/0!</v>
      </c>
      <c r="I69" s="65"/>
      <c r="K69" s="21"/>
    </row>
    <row r="70" spans="1:13" s="4" customFormat="1" ht="39.75" customHeight="1">
      <c r="A70" s="223"/>
      <c r="B70" s="351" t="s">
        <v>155</v>
      </c>
      <c r="C70" s="352"/>
      <c r="D70" s="353">
        <f>'Розшифровка 2 до формування'!D41+'Розшифровка 2 до формування'!D94+'Розшифровка 2 до формування'!D209+'Розшифровка 2 до формування'!D234</f>
        <v>67.600000000000009</v>
      </c>
      <c r="E70" s="13">
        <f>'Розшифровка 2 до формування'!E41+'Розшифровка 2 до формування'!E94+'Розшифровка 2 до формування'!E209+'Розшифровка 2 до формування'!E234</f>
        <v>0</v>
      </c>
      <c r="F70" s="13">
        <f>'Розшифровка 2 до формування'!F41+'Розшифровка 2 до формування'!F94+'Розшифровка 2 до формування'!F209+'Розшифровка 2 до формування'!F234</f>
        <v>0</v>
      </c>
      <c r="G70" s="10">
        <f t="shared" si="4"/>
        <v>0</v>
      </c>
      <c r="H70" s="268" t="e">
        <f t="shared" si="5"/>
        <v>#DIV/0!</v>
      </c>
      <c r="I70" s="65"/>
    </row>
    <row r="71" spans="1:13" s="4" customFormat="1" ht="31.5" customHeight="1">
      <c r="A71" s="540" t="s">
        <v>82</v>
      </c>
      <c r="B71" s="540"/>
      <c r="C71" s="298">
        <v>1025</v>
      </c>
      <c r="D71" s="294">
        <f>SUM(D72:D92)</f>
        <v>1135.3999999999999</v>
      </c>
      <c r="E71" s="296">
        <f>SUM(E72:E92)</f>
        <v>1009.9</v>
      </c>
      <c r="F71" s="294">
        <f>SUM(F72:F92)</f>
        <v>1382.6999999999998</v>
      </c>
      <c r="G71" s="297">
        <f t="shared" si="4"/>
        <v>372.79999999999984</v>
      </c>
      <c r="H71" s="297">
        <f t="shared" si="5"/>
        <v>136.91454599465291</v>
      </c>
      <c r="I71" s="65"/>
      <c r="J71" s="21"/>
    </row>
    <row r="72" spans="1:13" s="4" customFormat="1" ht="31.5" customHeight="1">
      <c r="A72" s="223"/>
      <c r="B72" s="362" t="s">
        <v>149</v>
      </c>
      <c r="C72" s="363"/>
      <c r="D72" s="364">
        <f>'Розшифровка 2 до формування'!D98+'Розшифровка 2 до формування'!D125+'Розшифровка 2 до формування'!D237</f>
        <v>108.10000000000001</v>
      </c>
      <c r="E72" s="13">
        <f>'Розшифровка 2 до формування'!E98+'Розшифровка 2 до формування'!E125+'Розшифровка 2 до формування'!E237</f>
        <v>180</v>
      </c>
      <c r="F72" s="13">
        <f>'Розшифровка 2 до формування'!F98+'Розшифровка 2 до формування'!F125+'Розшифровка 2 до формування'!F237</f>
        <v>158.99999999999997</v>
      </c>
      <c r="G72" s="10">
        <f t="shared" si="4"/>
        <v>-21.000000000000028</v>
      </c>
      <c r="H72" s="10">
        <f t="shared" si="5"/>
        <v>88.333333333333314</v>
      </c>
      <c r="I72" s="65"/>
      <c r="J72" s="21"/>
    </row>
    <row r="73" spans="1:13" s="4" customFormat="1" ht="31.5" customHeight="1">
      <c r="A73" s="223"/>
      <c r="B73" s="362" t="s">
        <v>142</v>
      </c>
      <c r="C73" s="363"/>
      <c r="D73" s="364">
        <f>'Розшифровка 2 до формування'!D99</f>
        <v>4.2</v>
      </c>
      <c r="E73" s="13">
        <f>'Розшифровка 2 до формування'!E99</f>
        <v>3</v>
      </c>
      <c r="F73" s="13">
        <f>'Розшифровка 2 до формування'!F99</f>
        <v>0</v>
      </c>
      <c r="G73" s="10">
        <f t="shared" si="4"/>
        <v>-3</v>
      </c>
      <c r="H73" s="10">
        <f t="shared" si="5"/>
        <v>0</v>
      </c>
      <c r="I73" s="65"/>
      <c r="J73" s="21"/>
    </row>
    <row r="74" spans="1:13" s="4" customFormat="1" ht="31.5" customHeight="1">
      <c r="A74" s="223"/>
      <c r="B74" s="362" t="s">
        <v>153</v>
      </c>
      <c r="C74" s="363"/>
      <c r="D74" s="364">
        <f>'Розшифровка 2 до формування'!D101+'Розшифровка 2 до формування'!D126+'Розшифровка 2 до формування'!D246+'Розшифровка 2 до формування'!D47</f>
        <v>45.5</v>
      </c>
      <c r="E74" s="13">
        <f>'Розшифровка 2 до формування'!E101+'Розшифровка 2 до формування'!E126+'Розшифровка 2 до формування'!E246+'Розшифровка 2 до формування'!E47</f>
        <v>6</v>
      </c>
      <c r="F74" s="13">
        <f>'Розшифровка 2 до формування'!F101+'Розшифровка 2 до формування'!F126+'Розшифровка 2 до формування'!F246+'Розшифровка 2 до формування'!F47</f>
        <v>130.30000000000001</v>
      </c>
      <c r="G74" s="10">
        <f t="shared" si="4"/>
        <v>124.30000000000001</v>
      </c>
      <c r="H74" s="10">
        <f t="shared" si="5"/>
        <v>2171.666666666667</v>
      </c>
      <c r="I74" s="65"/>
      <c r="M74" s="21"/>
    </row>
    <row r="75" spans="1:13" s="4" customFormat="1" ht="52.5" customHeight="1">
      <c r="A75" s="223"/>
      <c r="B75" s="362" t="s">
        <v>160</v>
      </c>
      <c r="C75" s="363"/>
      <c r="D75" s="364">
        <f>'Розшифровка 2 до формування'!D46+'Розшифровка 2 до формування'!D104+'Розшифровка 2 до формування'!D128+'Розшифровка 2 до формування'!D238</f>
        <v>74.5</v>
      </c>
      <c r="E75" s="13">
        <f>'Розшифровка 2 до формування'!E46+'Розшифровка 2 до формування'!E104+'Розшифровка 2 до формування'!E128+'Розшифровка 2 до формування'!E238</f>
        <v>91</v>
      </c>
      <c r="F75" s="13">
        <f>'Розшифровка 2 до формування'!F46+'Розшифровка 2 до формування'!F104+'Розшифровка 2 до формування'!F128+'Розшифровка 2 до формування'!F238</f>
        <v>170.10000000000002</v>
      </c>
      <c r="G75" s="10">
        <f t="shared" si="4"/>
        <v>79.100000000000023</v>
      </c>
      <c r="H75" s="10">
        <f t="shared" si="5"/>
        <v>186.92307692307693</v>
      </c>
      <c r="I75" s="65"/>
    </row>
    <row r="76" spans="1:13" s="4" customFormat="1" ht="45.75" customHeight="1">
      <c r="A76" s="223"/>
      <c r="B76" s="362" t="s">
        <v>158</v>
      </c>
      <c r="C76" s="363"/>
      <c r="D76" s="364">
        <f>'Розшифровка 2 до формування'!D100+'Розшифровка 2 до формування'!D245</f>
        <v>15.6</v>
      </c>
      <c r="E76" s="13">
        <f>'Розшифровка 2 до формування'!E100+'Розшифровка 2 до формування'!E245</f>
        <v>32</v>
      </c>
      <c r="F76" s="13">
        <f>'Розшифровка 2 до формування'!F100+'Розшифровка 2 до формування'!F245</f>
        <v>60.2</v>
      </c>
      <c r="G76" s="10">
        <f t="shared" si="4"/>
        <v>28.200000000000003</v>
      </c>
      <c r="H76" s="10">
        <f t="shared" si="5"/>
        <v>188.125</v>
      </c>
      <c r="I76" s="65"/>
    </row>
    <row r="77" spans="1:13" s="4" customFormat="1" ht="42" customHeight="1">
      <c r="A77" s="223"/>
      <c r="B77" s="362" t="s">
        <v>169</v>
      </c>
      <c r="C77" s="363"/>
      <c r="D77" s="364">
        <f>'Розшифровка 2 до формування'!D242</f>
        <v>9</v>
      </c>
      <c r="E77" s="13">
        <f>'Розшифровка 2 до формування'!E242</f>
        <v>0</v>
      </c>
      <c r="F77" s="13">
        <f>'Розшифровка 2 до формування'!F242</f>
        <v>0</v>
      </c>
      <c r="G77" s="10">
        <f t="shared" si="4"/>
        <v>0</v>
      </c>
      <c r="H77" s="41" t="e">
        <f t="shared" si="5"/>
        <v>#DIV/0!</v>
      </c>
      <c r="I77" s="65"/>
    </row>
    <row r="78" spans="1:13" s="4" customFormat="1" ht="28.5" customHeight="1">
      <c r="A78" s="223"/>
      <c r="B78" s="362" t="s">
        <v>179</v>
      </c>
      <c r="C78" s="363"/>
      <c r="D78" s="364">
        <f>'Розшифровка 2 до формування'!D240+'Розшифровка 2 до формування'!D178+'Розшифровка 2 до формування'!D108</f>
        <v>11.3</v>
      </c>
      <c r="E78" s="13">
        <f>'Розшифровка 2 до формування'!E240+'Розшифровка 2 до формування'!E178+'Розшифровка 2 до формування'!E108</f>
        <v>8.4</v>
      </c>
      <c r="F78" s="13">
        <f>'Розшифровка 2 до формування'!F240+'Розшифровка 2 до формування'!F178+'Розшифровка 2 до формування'!F108</f>
        <v>16.5</v>
      </c>
      <c r="G78" s="10">
        <f t="shared" si="4"/>
        <v>8.1</v>
      </c>
      <c r="H78" s="10">
        <f t="shared" si="5"/>
        <v>196.42857142857142</v>
      </c>
      <c r="I78" s="65"/>
    </row>
    <row r="79" spans="1:13" s="4" customFormat="1" ht="27" customHeight="1">
      <c r="A79" s="223"/>
      <c r="B79" s="362" t="s">
        <v>162</v>
      </c>
      <c r="C79" s="363"/>
      <c r="D79" s="364">
        <f>'Розшифровка 2 до формування'!D148</f>
        <v>79.8</v>
      </c>
      <c r="E79" s="13">
        <f>'Розшифровка 2 до формування'!E148</f>
        <v>168</v>
      </c>
      <c r="F79" s="13">
        <f>'Розшифровка 2 до формування'!F148</f>
        <v>276.89999999999998</v>
      </c>
      <c r="G79" s="10">
        <f t="shared" si="4"/>
        <v>108.89999999999998</v>
      </c>
      <c r="H79" s="10">
        <f t="shared" si="5"/>
        <v>164.82142857142856</v>
      </c>
      <c r="I79" s="65"/>
    </row>
    <row r="80" spans="1:13" s="4" customFormat="1" ht="28.5" customHeight="1">
      <c r="A80" s="223"/>
      <c r="B80" s="362" t="s">
        <v>163</v>
      </c>
      <c r="C80" s="363"/>
      <c r="D80" s="364">
        <f>'Розшифровка 2 до формування'!D102+'Розшифровка 2 до формування'!D149</f>
        <v>7.6000000000000005</v>
      </c>
      <c r="E80" s="13">
        <f>'Розшифровка 2 до формування'!E102+'Розшифровка 2 до формування'!E149</f>
        <v>9.4</v>
      </c>
      <c r="F80" s="13">
        <f>'Розшифровка 2 до формування'!F102+'Розшифровка 2 до формування'!F149</f>
        <v>12.3</v>
      </c>
      <c r="G80" s="10">
        <f t="shared" si="4"/>
        <v>2.9000000000000004</v>
      </c>
      <c r="H80" s="10">
        <f t="shared" si="5"/>
        <v>130.85106382978725</v>
      </c>
      <c r="I80" s="65"/>
    </row>
    <row r="81" spans="1:11" s="4" customFormat="1" ht="30" customHeight="1">
      <c r="A81" s="223"/>
      <c r="B81" s="362" t="s">
        <v>164</v>
      </c>
      <c r="C81" s="363"/>
      <c r="D81" s="364">
        <f>'Розшифровка 2 до формування'!D103+'Розшифровка 2 до формування'!D150</f>
        <v>99.399999999999991</v>
      </c>
      <c r="E81" s="13">
        <f>'Розшифровка 2 до формування'!E103+'Розшифровка 2 до формування'!E150</f>
        <v>48.5</v>
      </c>
      <c r="F81" s="13">
        <f>'Розшифровка 2 до формування'!F103+'Розшифровка 2 до формування'!F150</f>
        <v>69.2</v>
      </c>
      <c r="G81" s="10">
        <f t="shared" si="4"/>
        <v>20.700000000000003</v>
      </c>
      <c r="H81" s="10">
        <f t="shared" si="5"/>
        <v>142.68041237113403</v>
      </c>
      <c r="I81" s="65"/>
    </row>
    <row r="82" spans="1:11" s="4" customFormat="1" ht="27" customHeight="1">
      <c r="A82" s="223"/>
      <c r="B82" s="362" t="s">
        <v>165</v>
      </c>
      <c r="C82" s="363"/>
      <c r="D82" s="364">
        <f>'Розшифровка 2 до формування'!D151</f>
        <v>3.6</v>
      </c>
      <c r="E82" s="13">
        <f>'Розшифровка 2 до формування'!E151</f>
        <v>5.6</v>
      </c>
      <c r="F82" s="13">
        <f>'Розшифровка 2 до формування'!F151</f>
        <v>4.0999999999999996</v>
      </c>
      <c r="G82" s="10">
        <f t="shared" si="4"/>
        <v>-1.5</v>
      </c>
      <c r="H82" s="10">
        <f t="shared" si="5"/>
        <v>73.214285714285708</v>
      </c>
      <c r="I82" s="65"/>
    </row>
    <row r="83" spans="1:11" s="4" customFormat="1" ht="34.5" customHeight="1">
      <c r="A83" s="223"/>
      <c r="B83" s="362" t="s">
        <v>248</v>
      </c>
      <c r="C83" s="363"/>
      <c r="D83" s="364">
        <f>'Розшифровка 2 до формування'!D179</f>
        <v>12.5</v>
      </c>
      <c r="E83" s="13">
        <f>'Розшифровка 2 до формування'!E179</f>
        <v>8</v>
      </c>
      <c r="F83" s="13">
        <f>'Розшифровка 2 до формування'!F179</f>
        <v>0</v>
      </c>
      <c r="G83" s="10">
        <f t="shared" si="4"/>
        <v>-8</v>
      </c>
      <c r="H83" s="10">
        <f t="shared" si="5"/>
        <v>0</v>
      </c>
      <c r="I83" s="65"/>
    </row>
    <row r="84" spans="1:11" s="4" customFormat="1" ht="27" customHeight="1">
      <c r="A84" s="223"/>
      <c r="B84" s="362" t="s">
        <v>331</v>
      </c>
      <c r="C84" s="363"/>
      <c r="D84" s="364">
        <f>'Розшифровка 2 до формування'!D106+'Розшифровка 2 до формування'!D49</f>
        <v>141.69999999999999</v>
      </c>
      <c r="E84" s="13">
        <f>'Розшифровка 2 до формування'!E106+'Розшифровка 2 до формування'!E49</f>
        <v>420</v>
      </c>
      <c r="F84" s="13">
        <f>'Розшифровка 2 до формування'!F106+'Розшифровка 2 до формування'!F49</f>
        <v>0.9</v>
      </c>
      <c r="G84" s="10">
        <f t="shared" si="4"/>
        <v>-419.1</v>
      </c>
      <c r="H84" s="10">
        <f t="shared" si="5"/>
        <v>0.2142857142857143</v>
      </c>
      <c r="I84" s="65"/>
    </row>
    <row r="85" spans="1:11" s="4" customFormat="1" ht="27" customHeight="1">
      <c r="A85" s="223"/>
      <c r="B85" s="362" t="s">
        <v>240</v>
      </c>
      <c r="C85" s="363"/>
      <c r="D85" s="364">
        <f>'Розшифровка 2 до формування'!D107</f>
        <v>0</v>
      </c>
      <c r="E85" s="13">
        <f>'Розшифровка 2 до формування'!E107</f>
        <v>0</v>
      </c>
      <c r="F85" s="13">
        <f>'Розшифровка 2 до формування'!F107</f>
        <v>3.6</v>
      </c>
      <c r="G85" s="10">
        <f t="shared" si="4"/>
        <v>3.6</v>
      </c>
      <c r="H85" s="41" t="e">
        <f t="shared" si="5"/>
        <v>#DIV/0!</v>
      </c>
      <c r="I85" s="65"/>
    </row>
    <row r="86" spans="1:11" s="4" customFormat="1" ht="27" customHeight="1">
      <c r="A86" s="223"/>
      <c r="B86" s="362" t="s">
        <v>239</v>
      </c>
      <c r="C86" s="363"/>
      <c r="D86" s="364">
        <f>'Розшифровка 2 до формування'!D241</f>
        <v>25.8</v>
      </c>
      <c r="E86" s="13">
        <f>'Розшифровка 2 до формування'!E241</f>
        <v>0</v>
      </c>
      <c r="F86" s="13">
        <f>'Розшифровка 2 до формування'!F241</f>
        <v>10.5</v>
      </c>
      <c r="G86" s="10">
        <f t="shared" si="4"/>
        <v>10.5</v>
      </c>
      <c r="H86" s="41" t="e">
        <f t="shared" si="5"/>
        <v>#DIV/0!</v>
      </c>
      <c r="I86" s="65"/>
    </row>
    <row r="87" spans="1:11" s="4" customFormat="1" ht="31.5" customHeight="1">
      <c r="A87" s="223"/>
      <c r="B87" s="362" t="s">
        <v>161</v>
      </c>
      <c r="C87" s="363"/>
      <c r="D87" s="364">
        <f>'Розшифровка 2 до формування'!D239+'Розшифровка 2 до формування'!D48</f>
        <v>5.6</v>
      </c>
      <c r="E87" s="13">
        <f>'Розшифровка 2 до формування'!E239+'Розшифровка 2 до формування'!E48</f>
        <v>0</v>
      </c>
      <c r="F87" s="13">
        <f>'Розшифровка 2 до формування'!F239+'Розшифровка 2 до формування'!F48</f>
        <v>14</v>
      </c>
      <c r="G87" s="10">
        <f t="shared" ref="G87:G103" si="6">F87-E87</f>
        <v>14</v>
      </c>
      <c r="H87" s="41" t="e">
        <f t="shared" ref="H87:H103" si="7">(F87/E87)*100</f>
        <v>#DIV/0!</v>
      </c>
      <c r="I87" s="65"/>
    </row>
    <row r="88" spans="1:11" s="4" customFormat="1" ht="27" customHeight="1">
      <c r="A88" s="223"/>
      <c r="B88" s="362" t="s">
        <v>213</v>
      </c>
      <c r="C88" s="363"/>
      <c r="D88" s="364">
        <f>'Розшифровка 2 до формування'!D51</f>
        <v>447</v>
      </c>
      <c r="E88" s="13">
        <f>'Розшифровка 2 до формування'!E51</f>
        <v>0</v>
      </c>
      <c r="F88" s="13">
        <f>'Розшифровка 2 до формування'!F51</f>
        <v>198</v>
      </c>
      <c r="G88" s="10">
        <f t="shared" si="6"/>
        <v>198</v>
      </c>
      <c r="H88" s="41" t="e">
        <f t="shared" si="7"/>
        <v>#DIV/0!</v>
      </c>
      <c r="I88" s="65"/>
    </row>
    <row r="89" spans="1:11" s="4" customFormat="1" ht="28.5" customHeight="1">
      <c r="A89" s="223"/>
      <c r="B89" s="362" t="s">
        <v>166</v>
      </c>
      <c r="C89" s="363"/>
      <c r="D89" s="364">
        <f>'Розшифровка 2 до формування'!D243</f>
        <v>5</v>
      </c>
      <c r="E89" s="13">
        <f>'Розшифровка 2 до формування'!E243</f>
        <v>0</v>
      </c>
      <c r="F89" s="13">
        <f>'Розшифровка 2 до формування'!F243</f>
        <v>0</v>
      </c>
      <c r="G89" s="10">
        <f t="shared" si="6"/>
        <v>0</v>
      </c>
      <c r="H89" s="41" t="e">
        <f t="shared" si="7"/>
        <v>#DIV/0!</v>
      </c>
      <c r="I89" s="65"/>
    </row>
    <row r="90" spans="1:11" s="4" customFormat="1" ht="41.25" customHeight="1">
      <c r="A90" s="223"/>
      <c r="B90" s="362" t="s">
        <v>330</v>
      </c>
      <c r="C90" s="363"/>
      <c r="D90" s="364">
        <f>'Розшифровка 2 до формування'!D50</f>
        <v>16.2</v>
      </c>
      <c r="E90" s="13">
        <f>'Розшифровка 2 до формування'!E50</f>
        <v>30</v>
      </c>
      <c r="F90" s="13">
        <f>'Розшифровка 2 до формування'!F50</f>
        <v>23.1</v>
      </c>
      <c r="G90" s="10">
        <f t="shared" si="6"/>
        <v>-6.8999999999999986</v>
      </c>
      <c r="H90" s="10">
        <f t="shared" si="7"/>
        <v>77</v>
      </c>
      <c r="I90" s="65"/>
    </row>
    <row r="91" spans="1:11" s="4" customFormat="1" ht="31.5" customHeight="1">
      <c r="A91" s="223"/>
      <c r="B91" s="362" t="s">
        <v>235</v>
      </c>
      <c r="C91" s="363"/>
      <c r="D91" s="364">
        <f>'Розшифровка 2 до формування'!D244</f>
        <v>8.5</v>
      </c>
      <c r="E91" s="13">
        <f>'Розшифровка 2 до формування'!E244</f>
        <v>0</v>
      </c>
      <c r="F91" s="13">
        <f>'Розшифровка 2 до формування'!F244</f>
        <v>42.7</v>
      </c>
      <c r="G91" s="10">
        <f t="shared" si="6"/>
        <v>42.7</v>
      </c>
      <c r="H91" s="41" t="e">
        <f t="shared" si="7"/>
        <v>#DIV/0!</v>
      </c>
      <c r="I91" s="65"/>
    </row>
    <row r="92" spans="1:11" s="4" customFormat="1" ht="31.5" customHeight="1">
      <c r="A92" s="223"/>
      <c r="B92" s="362" t="s">
        <v>221</v>
      </c>
      <c r="C92" s="363"/>
      <c r="D92" s="364">
        <f>'Розшифровка 2 до формування'!D105+'Розшифровка 2 до формування'!D127+'Розшифровка 2 до формування'!D211</f>
        <v>14.5</v>
      </c>
      <c r="E92" s="13">
        <f>'Розшифровка 2 до формування'!E105+'Розшифровка 2 до формування'!E127+'Розшифровка 2 до формування'!E211</f>
        <v>0</v>
      </c>
      <c r="F92" s="13">
        <f>'Розшифровка 2 до формування'!F105+'Розшифровка 2 до формування'!F127+'Розшифровка 2 до формування'!F211</f>
        <v>191.3</v>
      </c>
      <c r="G92" s="10">
        <f t="shared" si="6"/>
        <v>191.3</v>
      </c>
      <c r="H92" s="41" t="e">
        <f t="shared" si="7"/>
        <v>#DIV/0!</v>
      </c>
      <c r="I92" s="65"/>
    </row>
    <row r="93" spans="1:11" s="4" customFormat="1" ht="37.5" customHeight="1">
      <c r="A93" s="533" t="s">
        <v>118</v>
      </c>
      <c r="B93" s="533"/>
      <c r="C93" s="20"/>
      <c r="D93" s="13"/>
      <c r="E93" s="9"/>
      <c r="F93" s="9"/>
      <c r="G93" s="10"/>
      <c r="H93" s="10"/>
      <c r="I93" s="65"/>
    </row>
    <row r="94" spans="1:11" s="4" customFormat="1" ht="37.5" customHeight="1">
      <c r="A94" s="532" t="s">
        <v>92</v>
      </c>
      <c r="B94" s="532"/>
      <c r="C94" s="298">
        <v>1035</v>
      </c>
      <c r="D94" s="294">
        <f>SUM(D95:D103)</f>
        <v>263</v>
      </c>
      <c r="E94" s="294">
        <f>SUM(E95:E103)</f>
        <v>281</v>
      </c>
      <c r="F94" s="294">
        <f>SUM(F95:F103)</f>
        <v>341.90000000000003</v>
      </c>
      <c r="G94" s="295">
        <f t="shared" si="6"/>
        <v>60.900000000000034</v>
      </c>
      <c r="H94" s="295">
        <f t="shared" si="7"/>
        <v>121.67259786476869</v>
      </c>
      <c r="I94" s="65"/>
      <c r="J94" s="21"/>
    </row>
    <row r="95" spans="1:11" s="4" customFormat="1" ht="32.25" customHeight="1">
      <c r="A95" s="222"/>
      <c r="B95" s="372" t="s">
        <v>162</v>
      </c>
      <c r="C95" s="373"/>
      <c r="D95" s="374">
        <f>'Розшифровка 2 до формування'!D164</f>
        <v>10.199999999999999</v>
      </c>
      <c r="E95" s="13">
        <f>'Розшифровка 2 до формування'!E164</f>
        <v>8</v>
      </c>
      <c r="F95" s="13">
        <f>'Розшифровка 2 до формування'!F164</f>
        <v>20.399999999999999</v>
      </c>
      <c r="G95" s="10">
        <f t="shared" si="6"/>
        <v>12.399999999999999</v>
      </c>
      <c r="H95" s="10">
        <f t="shared" si="7"/>
        <v>254.99999999999997</v>
      </c>
      <c r="I95" s="24"/>
      <c r="J95" s="21"/>
    </row>
    <row r="96" spans="1:11" s="4" customFormat="1" ht="31.5" customHeight="1">
      <c r="A96" s="222"/>
      <c r="B96" s="372" t="s">
        <v>163</v>
      </c>
      <c r="C96" s="373"/>
      <c r="D96" s="374">
        <f>'Розшифровка 2 до формування'!D165</f>
        <v>4.2</v>
      </c>
      <c r="E96" s="13">
        <f>'Розшифровка 2 до формування'!E165</f>
        <v>4</v>
      </c>
      <c r="F96" s="13">
        <f>'Розшифровка 2 до формування'!F165</f>
        <v>9.3000000000000007</v>
      </c>
      <c r="G96" s="10">
        <f t="shared" si="6"/>
        <v>5.3000000000000007</v>
      </c>
      <c r="H96" s="10">
        <f t="shared" si="7"/>
        <v>232.50000000000003</v>
      </c>
      <c r="I96" s="24"/>
      <c r="K96" s="21"/>
    </row>
    <row r="97" spans="1:9" s="4" customFormat="1" ht="30" customHeight="1">
      <c r="A97" s="222"/>
      <c r="B97" s="372" t="s">
        <v>164</v>
      </c>
      <c r="C97" s="373"/>
      <c r="D97" s="374">
        <f>'Розшифровка 2 до формування'!D166</f>
        <v>94.5</v>
      </c>
      <c r="E97" s="13">
        <f>'Розшифровка 2 до формування'!E166</f>
        <v>84</v>
      </c>
      <c r="F97" s="13">
        <f>'Розшифровка 2 до формування'!F166</f>
        <v>109.4</v>
      </c>
      <c r="G97" s="10">
        <f t="shared" si="6"/>
        <v>25.400000000000006</v>
      </c>
      <c r="H97" s="10">
        <f t="shared" si="7"/>
        <v>130.23809523809524</v>
      </c>
      <c r="I97" s="24"/>
    </row>
    <row r="98" spans="1:9" s="4" customFormat="1" ht="30" customHeight="1">
      <c r="A98" s="222"/>
      <c r="B98" s="372" t="s">
        <v>222</v>
      </c>
      <c r="C98" s="373"/>
      <c r="D98" s="374">
        <f>'Розшифровка 2 до формування'!D56+'Розшифровка 2 до формування'!D112+'Розшифровка 2 до формування'!D250</f>
        <v>52.7</v>
      </c>
      <c r="E98" s="13">
        <f>'Розшифровка 2 до формування'!E56+'Розшифровка 2 до формування'!E112+'Розшифровка 2 до формування'!E250</f>
        <v>30</v>
      </c>
      <c r="F98" s="13">
        <f>'Розшифровка 2 до формування'!F56+'Розшифровка 2 до формування'!F112+'Розшифровка 2 до формування'!F250</f>
        <v>99</v>
      </c>
      <c r="G98" s="10">
        <f t="shared" si="6"/>
        <v>69</v>
      </c>
      <c r="H98" s="10">
        <f t="shared" si="7"/>
        <v>330</v>
      </c>
      <c r="I98" s="65"/>
    </row>
    <row r="99" spans="1:9" s="4" customFormat="1" ht="30" customHeight="1">
      <c r="A99" s="222"/>
      <c r="B99" s="372" t="s">
        <v>245</v>
      </c>
      <c r="C99" s="373"/>
      <c r="D99" s="374">
        <f>'Розшифровка 2 до формування'!D249</f>
        <v>99.5</v>
      </c>
      <c r="E99" s="13">
        <f>'Розшифровка 2 до формування'!E249</f>
        <v>0</v>
      </c>
      <c r="F99" s="13">
        <f>'Розшифровка 2 до формування'!F249</f>
        <v>81.099999999999994</v>
      </c>
      <c r="G99" s="10">
        <f t="shared" si="6"/>
        <v>81.099999999999994</v>
      </c>
      <c r="H99" s="41" t="e">
        <f t="shared" si="7"/>
        <v>#DIV/0!</v>
      </c>
      <c r="I99" s="65"/>
    </row>
    <row r="100" spans="1:9" s="4" customFormat="1" ht="35.25" customHeight="1">
      <c r="A100" s="222"/>
      <c r="B100" s="379" t="s">
        <v>630</v>
      </c>
      <c r="C100" s="373"/>
      <c r="D100" s="374">
        <f>'Розшифровка 2 до формування'!D113</f>
        <v>0</v>
      </c>
      <c r="E100" s="13">
        <f>'Розшифровка 2 до формування'!E113</f>
        <v>0</v>
      </c>
      <c r="F100" s="13">
        <f>'Розшифровка 2 до формування'!F113</f>
        <v>1.1000000000000001</v>
      </c>
      <c r="G100" s="10">
        <f t="shared" si="6"/>
        <v>1.1000000000000001</v>
      </c>
      <c r="H100" s="41" t="e">
        <f t="shared" si="7"/>
        <v>#DIV/0!</v>
      </c>
      <c r="I100" s="65"/>
    </row>
    <row r="101" spans="1:9" s="4" customFormat="1" ht="30" customHeight="1">
      <c r="A101" s="222"/>
      <c r="B101" s="372" t="s">
        <v>238</v>
      </c>
      <c r="C101" s="373"/>
      <c r="D101" s="374">
        <f>'Розшифровка 2 до формування'!D184</f>
        <v>0</v>
      </c>
      <c r="E101" s="13">
        <f>'Розшифровка 2 до формування'!E184</f>
        <v>0</v>
      </c>
      <c r="F101" s="13">
        <f>'Розшифровка 2 до формування'!F184</f>
        <v>19.5</v>
      </c>
      <c r="G101" s="10">
        <f t="shared" si="6"/>
        <v>19.5</v>
      </c>
      <c r="H101" s="41" t="e">
        <f t="shared" si="7"/>
        <v>#DIV/0!</v>
      </c>
      <c r="I101" s="65"/>
    </row>
    <row r="102" spans="1:9" s="4" customFormat="1" ht="31.5" customHeight="1">
      <c r="A102" s="222"/>
      <c r="B102" s="372" t="s">
        <v>43</v>
      </c>
      <c r="C102" s="373"/>
      <c r="D102" s="374">
        <f>'Розшифровка 2 до формування'!D111</f>
        <v>1.9</v>
      </c>
      <c r="E102" s="13">
        <f>'Розшифровка 2 до формування'!E111</f>
        <v>0.6</v>
      </c>
      <c r="F102" s="13">
        <f>'Розшифровка 2 до формування'!F111</f>
        <v>2.1</v>
      </c>
      <c r="G102" s="10">
        <f t="shared" si="6"/>
        <v>1.5</v>
      </c>
      <c r="H102" s="10">
        <f t="shared" si="7"/>
        <v>350.00000000000006</v>
      </c>
      <c r="I102" s="65"/>
    </row>
    <row r="103" spans="1:9" s="4" customFormat="1" ht="31.5" customHeight="1">
      <c r="A103" s="222"/>
      <c r="B103" s="372" t="s">
        <v>190</v>
      </c>
      <c r="C103" s="373"/>
      <c r="D103" s="374">
        <f>'Розшифровка 2 до формування'!D114</f>
        <v>0</v>
      </c>
      <c r="E103" s="13">
        <f>'Розшифровка 2 до формування'!E114</f>
        <v>154.4</v>
      </c>
      <c r="F103" s="13">
        <f>'Розшифровка 2 до формування'!F114</f>
        <v>0</v>
      </c>
      <c r="G103" s="10">
        <f t="shared" si="6"/>
        <v>-154.4</v>
      </c>
      <c r="H103" s="10">
        <f t="shared" si="7"/>
        <v>0</v>
      </c>
      <c r="I103" s="65"/>
    </row>
    <row r="104" spans="1:9">
      <c r="B104" s="6"/>
      <c r="D104" s="75"/>
      <c r="E104" s="5"/>
      <c r="F104" s="5"/>
    </row>
    <row r="105" spans="1:9" ht="24.75" customHeight="1">
      <c r="B105" s="22" t="s">
        <v>205</v>
      </c>
      <c r="C105" s="23"/>
      <c r="D105" s="537"/>
      <c r="E105" s="537"/>
      <c r="F105" s="534" t="s">
        <v>180</v>
      </c>
      <c r="G105" s="534"/>
      <c r="H105" s="534"/>
      <c r="I105" s="168"/>
    </row>
    <row r="106" spans="1:9">
      <c r="B106" s="224" t="s">
        <v>59</v>
      </c>
      <c r="C106" s="1"/>
      <c r="D106" s="538" t="s">
        <v>65</v>
      </c>
      <c r="E106" s="538"/>
      <c r="F106" s="535" t="s">
        <v>17</v>
      </c>
      <c r="G106" s="535"/>
      <c r="H106" s="535"/>
    </row>
    <row r="107" spans="1:9">
      <c r="B107" s="6"/>
      <c r="D107" s="75"/>
      <c r="E107" s="5"/>
      <c r="F107" s="5"/>
    </row>
    <row r="108" spans="1:9">
      <c r="B108" s="6"/>
      <c r="D108" s="75"/>
      <c r="E108" s="5"/>
      <c r="F108" s="5"/>
    </row>
    <row r="109" spans="1:9">
      <c r="B109" s="6"/>
      <c r="D109" s="75"/>
      <c r="E109" s="5"/>
      <c r="F109" s="5"/>
    </row>
    <row r="110" spans="1:9">
      <c r="B110" s="6"/>
      <c r="D110" s="75"/>
      <c r="E110" s="5"/>
      <c r="F110" s="5"/>
    </row>
    <row r="111" spans="1:9">
      <c r="B111" s="6"/>
      <c r="D111" s="75"/>
      <c r="E111" s="5"/>
      <c r="F111" s="5"/>
    </row>
    <row r="112" spans="1:9">
      <c r="B112" s="6"/>
      <c r="D112" s="75"/>
      <c r="E112" s="5"/>
      <c r="F112" s="5"/>
    </row>
    <row r="113" spans="2:6">
      <c r="B113" s="6"/>
      <c r="D113" s="75"/>
      <c r="E113" s="5"/>
      <c r="F113" s="5"/>
    </row>
    <row r="114" spans="2:6">
      <c r="B114" s="6"/>
      <c r="D114" s="75"/>
      <c r="E114" s="5"/>
      <c r="F114" s="5"/>
    </row>
    <row r="115" spans="2:6">
      <c r="B115" s="6"/>
      <c r="D115" s="75"/>
      <c r="E115" s="5"/>
      <c r="F115" s="5"/>
    </row>
    <row r="116" spans="2:6">
      <c r="B116" s="6"/>
      <c r="D116" s="75"/>
      <c r="E116" s="5"/>
      <c r="F116" s="5"/>
    </row>
    <row r="117" spans="2:6">
      <c r="B117" s="6"/>
      <c r="D117" s="75"/>
      <c r="E117" s="5"/>
      <c r="F117" s="5"/>
    </row>
    <row r="118" spans="2:6">
      <c r="B118" s="6"/>
      <c r="D118" s="75"/>
      <c r="E118" s="5"/>
      <c r="F118" s="5"/>
    </row>
    <row r="119" spans="2:6">
      <c r="B119" s="6"/>
      <c r="D119" s="75"/>
      <c r="E119" s="5"/>
      <c r="F119" s="5"/>
    </row>
    <row r="120" spans="2:6">
      <c r="B120" s="6"/>
      <c r="D120" s="75"/>
      <c r="E120" s="5"/>
      <c r="F120" s="5"/>
    </row>
    <row r="121" spans="2:6">
      <c r="B121" s="6"/>
      <c r="D121" s="75"/>
      <c r="E121" s="5"/>
      <c r="F121" s="5"/>
    </row>
    <row r="122" spans="2:6">
      <c r="B122" s="6"/>
      <c r="D122" s="75"/>
      <c r="E122" s="5"/>
      <c r="F122" s="5"/>
    </row>
    <row r="123" spans="2:6">
      <c r="B123" s="6"/>
      <c r="D123" s="75"/>
      <c r="E123" s="5"/>
      <c r="F123" s="5"/>
    </row>
    <row r="124" spans="2:6">
      <c r="B124" s="6"/>
      <c r="D124" s="75"/>
      <c r="E124" s="5"/>
      <c r="F124" s="5"/>
    </row>
    <row r="125" spans="2:6">
      <c r="B125" s="6"/>
      <c r="D125" s="75"/>
      <c r="E125" s="5"/>
      <c r="F125" s="5"/>
    </row>
    <row r="126" spans="2:6">
      <c r="B126" s="6"/>
      <c r="D126" s="75"/>
      <c r="E126" s="5"/>
      <c r="F126" s="5"/>
    </row>
    <row r="127" spans="2:6">
      <c r="B127" s="6"/>
      <c r="D127" s="75"/>
      <c r="E127" s="5"/>
      <c r="F127" s="5"/>
    </row>
    <row r="128" spans="2:6">
      <c r="B128" s="6"/>
      <c r="D128" s="75"/>
      <c r="E128" s="5"/>
      <c r="F128" s="5"/>
    </row>
    <row r="129" spans="2:6">
      <c r="B129" s="6"/>
      <c r="D129" s="75"/>
      <c r="E129" s="5"/>
      <c r="F129" s="5"/>
    </row>
    <row r="130" spans="2:6">
      <c r="B130" s="6"/>
      <c r="D130" s="75"/>
      <c r="E130" s="5"/>
      <c r="F130" s="5"/>
    </row>
    <row r="131" spans="2:6">
      <c r="B131" s="6"/>
      <c r="D131" s="75"/>
      <c r="E131" s="5"/>
      <c r="F131" s="5"/>
    </row>
    <row r="132" spans="2:6">
      <c r="B132" s="6"/>
      <c r="D132" s="75"/>
      <c r="E132" s="5"/>
      <c r="F132" s="5"/>
    </row>
    <row r="133" spans="2:6">
      <c r="B133" s="6"/>
      <c r="D133" s="75"/>
      <c r="E133" s="5"/>
      <c r="F133" s="5"/>
    </row>
    <row r="134" spans="2:6">
      <c r="B134" s="6"/>
      <c r="D134" s="75"/>
      <c r="E134" s="5"/>
      <c r="F134" s="5"/>
    </row>
    <row r="135" spans="2:6">
      <c r="B135" s="6"/>
      <c r="D135" s="75"/>
      <c r="E135" s="5"/>
      <c r="F135" s="5"/>
    </row>
    <row r="136" spans="2:6">
      <c r="B136" s="6"/>
      <c r="D136" s="75"/>
      <c r="E136" s="5"/>
      <c r="F136" s="5"/>
    </row>
    <row r="137" spans="2:6">
      <c r="B137" s="6"/>
      <c r="D137" s="75"/>
      <c r="E137" s="5"/>
      <c r="F137" s="5"/>
    </row>
    <row r="138" spans="2:6">
      <c r="B138" s="6"/>
      <c r="D138" s="75"/>
      <c r="E138" s="5"/>
      <c r="F138" s="5"/>
    </row>
    <row r="139" spans="2:6">
      <c r="B139" s="6"/>
      <c r="D139" s="75"/>
      <c r="E139" s="5"/>
      <c r="F139" s="5"/>
    </row>
    <row r="140" spans="2:6">
      <c r="B140" s="6"/>
      <c r="D140" s="75"/>
      <c r="E140" s="5"/>
      <c r="F140" s="5"/>
    </row>
    <row r="141" spans="2:6">
      <c r="B141" s="6"/>
      <c r="D141" s="75"/>
      <c r="E141" s="5"/>
      <c r="F141" s="5"/>
    </row>
    <row r="142" spans="2:6">
      <c r="B142" s="6"/>
      <c r="D142" s="75"/>
      <c r="E142" s="5"/>
      <c r="F142" s="5"/>
    </row>
    <row r="143" spans="2:6">
      <c r="B143" s="6"/>
      <c r="D143" s="75"/>
      <c r="E143" s="5"/>
      <c r="F143" s="5"/>
    </row>
    <row r="144" spans="2:6">
      <c r="B144" s="6"/>
      <c r="D144" s="75"/>
      <c r="E144" s="5"/>
      <c r="F144" s="5"/>
    </row>
    <row r="145" spans="2:6">
      <c r="B145" s="6"/>
      <c r="D145" s="75"/>
      <c r="E145" s="5"/>
      <c r="F145" s="5"/>
    </row>
    <row r="146" spans="2:6">
      <c r="B146" s="6"/>
      <c r="D146" s="75"/>
      <c r="E146" s="5"/>
      <c r="F146" s="5"/>
    </row>
    <row r="147" spans="2:6">
      <c r="B147" s="6"/>
      <c r="D147" s="75"/>
      <c r="E147" s="5"/>
      <c r="F147" s="5"/>
    </row>
    <row r="148" spans="2:6">
      <c r="B148" s="6"/>
      <c r="D148" s="75"/>
      <c r="E148" s="5"/>
      <c r="F148" s="5"/>
    </row>
    <row r="149" spans="2:6">
      <c r="B149" s="6"/>
      <c r="D149" s="75"/>
      <c r="E149" s="5"/>
      <c r="F149" s="5"/>
    </row>
    <row r="150" spans="2:6">
      <c r="B150" s="6"/>
      <c r="D150" s="75"/>
      <c r="E150" s="5"/>
      <c r="F150" s="5"/>
    </row>
    <row r="151" spans="2:6">
      <c r="B151" s="6"/>
      <c r="D151" s="75"/>
      <c r="E151" s="5"/>
      <c r="F151" s="5"/>
    </row>
    <row r="152" spans="2:6">
      <c r="B152" s="6"/>
      <c r="D152" s="75"/>
      <c r="E152" s="5"/>
      <c r="F152" s="5"/>
    </row>
    <row r="153" spans="2:6">
      <c r="B153" s="6"/>
      <c r="D153" s="75"/>
      <c r="E153" s="5"/>
      <c r="F153" s="5"/>
    </row>
    <row r="154" spans="2:6">
      <c r="B154" s="6"/>
      <c r="D154" s="75"/>
      <c r="E154" s="5"/>
      <c r="F154" s="5"/>
    </row>
    <row r="155" spans="2:6">
      <c r="B155" s="6"/>
      <c r="D155" s="75"/>
      <c r="E155" s="5"/>
      <c r="F155" s="5"/>
    </row>
    <row r="156" spans="2:6">
      <c r="B156" s="6"/>
      <c r="D156" s="75"/>
      <c r="E156" s="5"/>
      <c r="F156" s="5"/>
    </row>
    <row r="157" spans="2:6">
      <c r="B157" s="6"/>
      <c r="D157" s="75"/>
      <c r="E157" s="5"/>
      <c r="F157" s="5"/>
    </row>
    <row r="158" spans="2:6">
      <c r="B158" s="6"/>
      <c r="D158" s="75"/>
      <c r="E158" s="5"/>
      <c r="F158" s="5"/>
    </row>
    <row r="159" spans="2:6">
      <c r="B159" s="6"/>
      <c r="D159" s="75"/>
      <c r="E159" s="5"/>
      <c r="F159" s="5"/>
    </row>
    <row r="160" spans="2:6">
      <c r="B160" s="6"/>
      <c r="D160" s="75"/>
      <c r="E160" s="5"/>
      <c r="F160" s="5"/>
    </row>
    <row r="161" spans="2:2">
      <c r="B161" s="6"/>
    </row>
    <row r="162" spans="2:2">
      <c r="B162" s="7"/>
    </row>
    <row r="163" spans="2:2">
      <c r="B163" s="7"/>
    </row>
    <row r="164" spans="2:2">
      <c r="B164" s="7"/>
    </row>
    <row r="165" spans="2:2">
      <c r="B165" s="7"/>
    </row>
    <row r="166" spans="2:2">
      <c r="B166" s="7"/>
    </row>
    <row r="167" spans="2:2">
      <c r="B167" s="7"/>
    </row>
    <row r="168" spans="2:2">
      <c r="B168" s="7"/>
    </row>
    <row r="169" spans="2:2">
      <c r="B169" s="7"/>
    </row>
    <row r="170" spans="2:2">
      <c r="B170" s="7"/>
    </row>
    <row r="171" spans="2:2">
      <c r="B171" s="7"/>
    </row>
    <row r="172" spans="2:2">
      <c r="B172" s="7"/>
    </row>
    <row r="173" spans="2:2">
      <c r="B173" s="7"/>
    </row>
    <row r="174" spans="2:2">
      <c r="B174" s="7"/>
    </row>
    <row r="175" spans="2:2">
      <c r="B175" s="7"/>
    </row>
    <row r="176" spans="2:2">
      <c r="B176" s="7"/>
    </row>
    <row r="177" spans="2:2">
      <c r="B177" s="7"/>
    </row>
    <row r="178" spans="2:2">
      <c r="B178" s="7"/>
    </row>
    <row r="179" spans="2:2">
      <c r="B179" s="7"/>
    </row>
    <row r="180" spans="2:2">
      <c r="B180" s="7"/>
    </row>
    <row r="181" spans="2:2">
      <c r="B181" s="7"/>
    </row>
    <row r="182" spans="2:2">
      <c r="B182" s="7"/>
    </row>
    <row r="183" spans="2:2">
      <c r="B183" s="7"/>
    </row>
    <row r="184" spans="2:2">
      <c r="B184" s="7"/>
    </row>
    <row r="185" spans="2:2">
      <c r="B185" s="7"/>
    </row>
    <row r="186" spans="2:2">
      <c r="B186" s="7"/>
    </row>
    <row r="187" spans="2:2">
      <c r="B187" s="7"/>
    </row>
    <row r="188" spans="2:2">
      <c r="B188" s="7"/>
    </row>
    <row r="189" spans="2:2">
      <c r="B189" s="7"/>
    </row>
    <row r="190" spans="2:2">
      <c r="B190" s="7"/>
    </row>
    <row r="191" spans="2:2">
      <c r="B191" s="7"/>
    </row>
    <row r="192" spans="2:2">
      <c r="B192" s="7"/>
    </row>
    <row r="193" spans="2:2">
      <c r="B193" s="7"/>
    </row>
    <row r="194" spans="2:2">
      <c r="B194" s="7"/>
    </row>
    <row r="195" spans="2:2">
      <c r="B195" s="7"/>
    </row>
    <row r="196" spans="2:2">
      <c r="B196" s="7"/>
    </row>
    <row r="197" spans="2:2">
      <c r="B197" s="7"/>
    </row>
    <row r="198" spans="2:2">
      <c r="B198" s="7"/>
    </row>
    <row r="199" spans="2:2">
      <c r="B199" s="7"/>
    </row>
    <row r="200" spans="2:2">
      <c r="B200" s="7"/>
    </row>
    <row r="201" spans="2:2">
      <c r="B201" s="7"/>
    </row>
    <row r="202" spans="2:2">
      <c r="B202" s="7"/>
    </row>
    <row r="203" spans="2:2">
      <c r="B203" s="7"/>
    </row>
    <row r="204" spans="2:2">
      <c r="B204" s="7"/>
    </row>
    <row r="205" spans="2:2">
      <c r="B205" s="7"/>
    </row>
    <row r="206" spans="2:2">
      <c r="B206" s="7"/>
    </row>
    <row r="207" spans="2:2">
      <c r="B207" s="7"/>
    </row>
    <row r="208" spans="2:2">
      <c r="B208" s="7"/>
    </row>
    <row r="209" spans="2:2">
      <c r="B209" s="7"/>
    </row>
    <row r="210" spans="2:2">
      <c r="B210" s="7"/>
    </row>
    <row r="211" spans="2:2">
      <c r="B211" s="7"/>
    </row>
    <row r="212" spans="2:2">
      <c r="B212" s="7"/>
    </row>
    <row r="213" spans="2:2">
      <c r="B213" s="7"/>
    </row>
    <row r="214" spans="2:2">
      <c r="B214" s="7"/>
    </row>
    <row r="215" spans="2:2">
      <c r="B215" s="7"/>
    </row>
    <row r="216" spans="2:2">
      <c r="B216" s="7"/>
    </row>
    <row r="217" spans="2:2">
      <c r="B217" s="7"/>
    </row>
    <row r="218" spans="2:2">
      <c r="B218" s="7"/>
    </row>
    <row r="219" spans="2:2">
      <c r="B219" s="7"/>
    </row>
    <row r="220" spans="2:2">
      <c r="B220" s="7"/>
    </row>
    <row r="221" spans="2:2">
      <c r="B221" s="7"/>
    </row>
    <row r="222" spans="2:2">
      <c r="B222" s="7"/>
    </row>
    <row r="223" spans="2:2">
      <c r="B223" s="7"/>
    </row>
    <row r="224" spans="2:2">
      <c r="B224" s="7"/>
    </row>
    <row r="225" spans="2:2">
      <c r="B225" s="7"/>
    </row>
    <row r="226" spans="2:2">
      <c r="B226" s="7"/>
    </row>
    <row r="227" spans="2:2">
      <c r="B227" s="7"/>
    </row>
    <row r="228" spans="2:2">
      <c r="B228" s="7"/>
    </row>
    <row r="229" spans="2:2">
      <c r="B229" s="7"/>
    </row>
    <row r="230" spans="2:2">
      <c r="B230" s="7"/>
    </row>
    <row r="231" spans="2:2">
      <c r="B231" s="7"/>
    </row>
    <row r="232" spans="2:2">
      <c r="B232" s="7"/>
    </row>
    <row r="233" spans="2:2">
      <c r="B233" s="7"/>
    </row>
    <row r="234" spans="2:2">
      <c r="B234" s="7"/>
    </row>
    <row r="235" spans="2:2">
      <c r="B235" s="7"/>
    </row>
    <row r="236" spans="2:2">
      <c r="B236" s="7"/>
    </row>
    <row r="237" spans="2:2">
      <c r="B237" s="7"/>
    </row>
    <row r="238" spans="2:2">
      <c r="B238" s="7"/>
    </row>
    <row r="239" spans="2:2">
      <c r="B239" s="7"/>
    </row>
    <row r="240" spans="2:2">
      <c r="B240" s="7"/>
    </row>
    <row r="241" spans="2:2">
      <c r="B241" s="7"/>
    </row>
    <row r="242" spans="2:2">
      <c r="B242" s="7"/>
    </row>
    <row r="243" spans="2:2">
      <c r="B243" s="7"/>
    </row>
    <row r="244" spans="2:2">
      <c r="B244" s="7"/>
    </row>
    <row r="245" spans="2:2">
      <c r="B245" s="7"/>
    </row>
    <row r="246" spans="2:2">
      <c r="B246" s="7"/>
    </row>
    <row r="247" spans="2:2">
      <c r="B247" s="7"/>
    </row>
    <row r="248" spans="2:2">
      <c r="B248" s="7"/>
    </row>
    <row r="249" spans="2:2">
      <c r="B249" s="7"/>
    </row>
    <row r="250" spans="2:2">
      <c r="B250" s="7"/>
    </row>
    <row r="251" spans="2:2">
      <c r="B251" s="7"/>
    </row>
    <row r="252" spans="2:2">
      <c r="B252" s="7"/>
    </row>
    <row r="253" spans="2:2">
      <c r="B253" s="7"/>
    </row>
    <row r="254" spans="2:2">
      <c r="B254" s="7"/>
    </row>
    <row r="255" spans="2:2">
      <c r="B255" s="7"/>
    </row>
    <row r="256" spans="2:2">
      <c r="B256" s="7"/>
    </row>
    <row r="257" spans="2:2">
      <c r="B257" s="7"/>
    </row>
    <row r="258" spans="2:2">
      <c r="B258" s="7"/>
    </row>
    <row r="259" spans="2:2">
      <c r="B259" s="7"/>
    </row>
    <row r="260" spans="2:2">
      <c r="B260" s="7"/>
    </row>
    <row r="261" spans="2:2">
      <c r="B261" s="7"/>
    </row>
    <row r="262" spans="2:2">
      <c r="B262" s="7"/>
    </row>
    <row r="263" spans="2:2">
      <c r="B263" s="7"/>
    </row>
    <row r="264" spans="2:2">
      <c r="B264" s="7"/>
    </row>
    <row r="265" spans="2:2">
      <c r="B265" s="7"/>
    </row>
    <row r="266" spans="2:2">
      <c r="B266" s="7"/>
    </row>
    <row r="267" spans="2:2">
      <c r="B267" s="7"/>
    </row>
    <row r="268" spans="2:2">
      <c r="B268" s="7"/>
    </row>
    <row r="269" spans="2:2">
      <c r="B269" s="7"/>
    </row>
    <row r="270" spans="2:2">
      <c r="B270" s="7"/>
    </row>
    <row r="271" spans="2:2">
      <c r="B271" s="7"/>
    </row>
    <row r="272" spans="2:2">
      <c r="B272" s="7"/>
    </row>
    <row r="273" spans="2:2">
      <c r="B273" s="7"/>
    </row>
    <row r="274" spans="2:2">
      <c r="B274" s="7"/>
    </row>
    <row r="275" spans="2:2">
      <c r="B275" s="7"/>
    </row>
    <row r="276" spans="2:2">
      <c r="B276" s="7"/>
    </row>
    <row r="277" spans="2:2">
      <c r="B277" s="7"/>
    </row>
    <row r="278" spans="2:2">
      <c r="B278" s="7"/>
    </row>
    <row r="279" spans="2:2">
      <c r="B279" s="7"/>
    </row>
    <row r="280" spans="2:2">
      <c r="B280" s="7"/>
    </row>
    <row r="281" spans="2:2">
      <c r="B281" s="7"/>
    </row>
    <row r="282" spans="2:2">
      <c r="B282" s="7"/>
    </row>
    <row r="283" spans="2:2">
      <c r="B283" s="7"/>
    </row>
    <row r="284" spans="2:2">
      <c r="B284" s="7"/>
    </row>
    <row r="285" spans="2:2">
      <c r="B285" s="7"/>
    </row>
    <row r="286" spans="2:2">
      <c r="B286" s="7"/>
    </row>
    <row r="287" spans="2:2">
      <c r="B287" s="7"/>
    </row>
    <row r="288" spans="2:2">
      <c r="B288" s="7"/>
    </row>
    <row r="289" spans="2:2">
      <c r="B289" s="7"/>
    </row>
    <row r="290" spans="2:2">
      <c r="B290" s="7"/>
    </row>
    <row r="291" spans="2:2">
      <c r="B291" s="7"/>
    </row>
    <row r="292" spans="2:2">
      <c r="B292" s="7"/>
    </row>
    <row r="293" spans="2:2">
      <c r="B293" s="7"/>
    </row>
    <row r="294" spans="2:2">
      <c r="B294" s="7"/>
    </row>
    <row r="295" spans="2:2">
      <c r="B295" s="7"/>
    </row>
    <row r="296" spans="2:2">
      <c r="B296" s="7"/>
    </row>
    <row r="297" spans="2:2">
      <c r="B297" s="7"/>
    </row>
    <row r="298" spans="2:2">
      <c r="B298" s="7"/>
    </row>
    <row r="299" spans="2:2">
      <c r="B299" s="7"/>
    </row>
    <row r="300" spans="2:2">
      <c r="B300" s="7"/>
    </row>
    <row r="301" spans="2:2">
      <c r="B301" s="7"/>
    </row>
    <row r="302" spans="2:2">
      <c r="B302" s="7"/>
    </row>
    <row r="303" spans="2:2">
      <c r="B303" s="7"/>
    </row>
    <row r="304" spans="2:2">
      <c r="B304" s="7"/>
    </row>
    <row r="305" spans="2:2">
      <c r="B305" s="7"/>
    </row>
    <row r="306" spans="2:2">
      <c r="B306" s="7"/>
    </row>
    <row r="307" spans="2:2">
      <c r="B307" s="7"/>
    </row>
    <row r="308" spans="2:2">
      <c r="B308" s="7"/>
    </row>
    <row r="309" spans="2:2">
      <c r="B309" s="7"/>
    </row>
    <row r="310" spans="2:2">
      <c r="B310" s="7"/>
    </row>
    <row r="311" spans="2:2">
      <c r="B311" s="7"/>
    </row>
    <row r="312" spans="2:2">
      <c r="B312" s="7"/>
    </row>
    <row r="313" spans="2:2">
      <c r="B313" s="7"/>
    </row>
    <row r="314" spans="2:2">
      <c r="B314" s="7"/>
    </row>
    <row r="315" spans="2:2">
      <c r="B315" s="7"/>
    </row>
    <row r="316" spans="2:2">
      <c r="B316" s="7"/>
    </row>
    <row r="317" spans="2:2">
      <c r="B317" s="7"/>
    </row>
    <row r="318" spans="2:2">
      <c r="B318" s="7"/>
    </row>
    <row r="319" spans="2:2">
      <c r="B319" s="7"/>
    </row>
    <row r="320" spans="2:2">
      <c r="B320" s="7"/>
    </row>
    <row r="321" spans="2:2">
      <c r="B321" s="7"/>
    </row>
    <row r="322" spans="2:2">
      <c r="B322" s="7"/>
    </row>
    <row r="323" spans="2:2">
      <c r="B323" s="7"/>
    </row>
    <row r="324" spans="2:2">
      <c r="B324" s="7"/>
    </row>
    <row r="325" spans="2:2">
      <c r="B325" s="7"/>
    </row>
    <row r="326" spans="2:2">
      <c r="B326" s="7"/>
    </row>
    <row r="327" spans="2:2">
      <c r="B327" s="7"/>
    </row>
    <row r="328" spans="2:2">
      <c r="B328" s="7"/>
    </row>
  </sheetData>
  <mergeCells count="19">
    <mergeCell ref="F105:H105"/>
    <mergeCell ref="F106:H106"/>
    <mergeCell ref="B2:F2"/>
    <mergeCell ref="D105:E105"/>
    <mergeCell ref="D106:E106"/>
    <mergeCell ref="A21:B21"/>
    <mergeCell ref="A22:B22"/>
    <mergeCell ref="A23:B23"/>
    <mergeCell ref="A33:B33"/>
    <mergeCell ref="A66:B66"/>
    <mergeCell ref="A67:B67"/>
    <mergeCell ref="A71:B71"/>
    <mergeCell ref="A6:B6"/>
    <mergeCell ref="A7:B7"/>
    <mergeCell ref="A10:B10"/>
    <mergeCell ref="A19:B19"/>
    <mergeCell ref="A17:B17"/>
    <mergeCell ref="A94:B94"/>
    <mergeCell ref="A93:B93"/>
  </mergeCells>
  <pageMargins left="0.39370078740157483" right="0.39370078740157483" top="0.78740157480314965" bottom="0.39370078740157483" header="0.31496062992125984" footer="0.31496062992125984"/>
  <pageSetup paperSize="9" scale="81" fitToHeight="8" orientation="landscape" r:id="rId1"/>
  <rowBreaks count="2" manualBreakCount="2">
    <brk id="20" max="7" man="1"/>
    <brk id="58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2:R482"/>
  <sheetViews>
    <sheetView view="pageBreakPreview" topLeftCell="A17" zoomScale="70" zoomScaleNormal="70" zoomScaleSheetLayoutView="70" workbookViewId="0">
      <selection activeCell="I39" sqref="I39"/>
    </sheetView>
  </sheetViews>
  <sheetFormatPr defaultRowHeight="18.75"/>
  <cols>
    <col min="1" max="1" width="10" style="1" customWidth="1"/>
    <col min="2" max="2" width="106.140625" style="1" customWidth="1"/>
    <col min="3" max="3" width="14.140625" style="88" customWidth="1"/>
    <col min="4" max="4" width="16.5703125" style="88" customWidth="1"/>
    <col min="5" max="5" width="17.42578125" style="178" customWidth="1"/>
    <col min="6" max="6" width="18.140625" style="178" customWidth="1"/>
    <col min="7" max="7" width="18.28515625" style="1" customWidth="1"/>
    <col min="8" max="9" width="17.7109375" style="1" customWidth="1"/>
    <col min="10" max="10" width="19" style="72" customWidth="1"/>
    <col min="11" max="11" width="21.85546875" style="4" customWidth="1"/>
    <col min="12" max="12" width="22.7109375" style="1" customWidth="1"/>
    <col min="13" max="13" width="21.85546875" style="1" customWidth="1"/>
    <col min="14" max="14" width="15.85546875" style="88" customWidth="1"/>
    <col min="15" max="15" width="19.140625" style="88" customWidth="1"/>
    <col min="16" max="16" width="15.28515625" style="1" bestFit="1" customWidth="1"/>
    <col min="17" max="17" width="13.85546875" style="1" bestFit="1" customWidth="1"/>
    <col min="18" max="18" width="14.7109375" style="1" bestFit="1" customWidth="1"/>
    <col min="19" max="19" width="13.42578125" style="1" bestFit="1" customWidth="1"/>
    <col min="20" max="22" width="9.140625" style="1"/>
    <col min="23" max="23" width="10.28515625" style="1" customWidth="1"/>
    <col min="24" max="16384" width="9.140625" style="1"/>
  </cols>
  <sheetData>
    <row r="2" spans="1:17" ht="22.5" customHeight="1">
      <c r="B2" s="543" t="s">
        <v>116</v>
      </c>
      <c r="C2" s="543"/>
      <c r="D2" s="543"/>
      <c r="E2" s="543"/>
      <c r="F2" s="543"/>
      <c r="G2" s="543"/>
      <c r="H2" s="543"/>
    </row>
    <row r="3" spans="1:17">
      <c r="B3" s="90"/>
      <c r="C3" s="2"/>
      <c r="D3" s="90"/>
      <c r="E3" s="173"/>
      <c r="F3" s="173"/>
      <c r="H3" s="1" t="s">
        <v>64</v>
      </c>
    </row>
    <row r="4" spans="1:17" ht="98.25" customHeight="1">
      <c r="A4" s="3" t="s">
        <v>75</v>
      </c>
      <c r="B4" s="3" t="s">
        <v>23</v>
      </c>
      <c r="C4" s="8" t="s">
        <v>5</v>
      </c>
      <c r="D4" s="8" t="s">
        <v>458</v>
      </c>
      <c r="E4" s="174" t="s">
        <v>525</v>
      </c>
      <c r="F4" s="174" t="s">
        <v>526</v>
      </c>
      <c r="G4" s="8" t="s">
        <v>107</v>
      </c>
      <c r="H4" s="8" t="s">
        <v>110</v>
      </c>
      <c r="N4" s="24"/>
      <c r="O4" s="24"/>
    </row>
    <row r="5" spans="1:17" ht="30.75" customHeight="1">
      <c r="A5" s="18"/>
      <c r="B5" s="3">
        <v>2</v>
      </c>
      <c r="C5" s="8">
        <v>3</v>
      </c>
      <c r="D5" s="8">
        <v>4</v>
      </c>
      <c r="E5" s="174">
        <v>5</v>
      </c>
      <c r="F5" s="174">
        <v>6</v>
      </c>
      <c r="G5" s="3">
        <v>7</v>
      </c>
      <c r="H5" s="3">
        <v>8</v>
      </c>
      <c r="I5" s="15"/>
      <c r="J5" s="21"/>
      <c r="K5" s="25"/>
      <c r="M5" s="15"/>
      <c r="N5" s="26"/>
      <c r="O5" s="26"/>
    </row>
    <row r="6" spans="1:17" s="194" customFormat="1" ht="36" customHeight="1">
      <c r="A6" s="544" t="s">
        <v>83</v>
      </c>
      <c r="B6" s="544"/>
      <c r="C6" s="190"/>
      <c r="D6" s="175">
        <f>SUM(D7,D57,D115,D129,D152,D160,D167,D180,D185,D212,D251)</f>
        <v>144302.19999999998</v>
      </c>
      <c r="E6" s="175">
        <f t="shared" ref="E6:F6" si="0">SUM(E7,E57,E115,E129,E152,E160,E167,E180,E185,E212,E251)</f>
        <v>159668.59999999998</v>
      </c>
      <c r="F6" s="175">
        <f t="shared" si="0"/>
        <v>179618.3</v>
      </c>
      <c r="G6" s="191">
        <f>F6-E6</f>
        <v>19949.700000000012</v>
      </c>
      <c r="H6" s="191">
        <f>(F6/E6)*100</f>
        <v>112.49444161218926</v>
      </c>
      <c r="I6" s="192"/>
      <c r="J6" s="193"/>
      <c r="K6" s="186"/>
      <c r="N6" s="195"/>
      <c r="O6" s="195"/>
      <c r="P6" s="192"/>
    </row>
    <row r="7" spans="1:17" s="100" customFormat="1" ht="39.75" customHeight="1">
      <c r="A7" s="92" t="s">
        <v>84</v>
      </c>
      <c r="B7" s="93" t="s">
        <v>117</v>
      </c>
      <c r="C7" s="92"/>
      <c r="D7" s="94">
        <f>D9+D38+D52</f>
        <v>107026.1</v>
      </c>
      <c r="E7" s="94">
        <f>E9+E38+E52</f>
        <v>135665.4</v>
      </c>
      <c r="F7" s="94">
        <f>F9+F38+F52</f>
        <v>141142.9</v>
      </c>
      <c r="G7" s="95">
        <f>F7-E7</f>
        <v>5477.5</v>
      </c>
      <c r="H7" s="95">
        <f>(F7/E7)*100</f>
        <v>104.03750698409469</v>
      </c>
      <c r="I7" s="96"/>
      <c r="J7" s="97"/>
      <c r="K7" s="97"/>
      <c r="L7" s="97"/>
      <c r="M7" s="97"/>
      <c r="N7" s="98"/>
      <c r="O7" s="98"/>
      <c r="P7" s="99"/>
    </row>
    <row r="8" spans="1:17" ht="33.75" customHeight="1">
      <c r="A8" s="3"/>
      <c r="B8" s="29" t="s">
        <v>85</v>
      </c>
      <c r="C8" s="8"/>
      <c r="D8" s="13"/>
      <c r="E8" s="83"/>
      <c r="F8" s="83"/>
      <c r="G8" s="14"/>
      <c r="H8" s="14"/>
      <c r="I8" s="15"/>
      <c r="J8" s="21"/>
      <c r="K8" s="21"/>
      <c r="L8" s="21"/>
      <c r="M8" s="21"/>
      <c r="N8" s="27"/>
    </row>
    <row r="9" spans="1:17" s="194" customFormat="1" ht="30" customHeight="1">
      <c r="A9" s="229" t="s">
        <v>86</v>
      </c>
      <c r="B9" s="230" t="s">
        <v>89</v>
      </c>
      <c r="C9" s="190">
        <v>1010</v>
      </c>
      <c r="D9" s="167">
        <f>D10+D16+D17+D19+D18</f>
        <v>98441.5</v>
      </c>
      <c r="E9" s="167">
        <f>E10+E16+E17+E19</f>
        <v>124534.39999999999</v>
      </c>
      <c r="F9" s="167">
        <f>F10+F16+F17+F19+F18</f>
        <v>131442.9</v>
      </c>
      <c r="G9" s="191">
        <f>F9-E9</f>
        <v>6908.5</v>
      </c>
      <c r="H9" s="191">
        <f>(F9/E9)*100</f>
        <v>105.54746319089344</v>
      </c>
      <c r="I9" s="192"/>
      <c r="J9" s="231"/>
      <c r="K9" s="232"/>
      <c r="L9" s="232"/>
      <c r="M9" s="232"/>
      <c r="N9" s="233"/>
      <c r="O9" s="233"/>
      <c r="P9" s="186"/>
    </row>
    <row r="10" spans="1:17" s="194" customFormat="1" ht="28.5" customHeight="1">
      <c r="A10" s="234" t="s">
        <v>134</v>
      </c>
      <c r="B10" s="235" t="s">
        <v>104</v>
      </c>
      <c r="C10" s="236">
        <v>1011</v>
      </c>
      <c r="D10" s="117">
        <f>SUM(D11:D15)</f>
        <v>11992.6</v>
      </c>
      <c r="E10" s="117">
        <f t="shared" ref="E10:F10" si="1">SUM(E11:E15)</f>
        <v>18768</v>
      </c>
      <c r="F10" s="117">
        <f t="shared" si="1"/>
        <v>18197.099999999999</v>
      </c>
      <c r="G10" s="237">
        <f>F10-E10</f>
        <v>-570.90000000000146</v>
      </c>
      <c r="H10" s="237">
        <f>(F10/E10)*100</f>
        <v>96.958120204603574</v>
      </c>
      <c r="I10" s="192"/>
      <c r="J10" s="231"/>
      <c r="K10" s="232">
        <f>K12+K19+K26</f>
        <v>144302.20000000001</v>
      </c>
      <c r="L10" s="232">
        <f t="shared" ref="L10:M10" si="2">L12+L19+L26</f>
        <v>159668.6</v>
      </c>
      <c r="M10" s="232">
        <f t="shared" si="2"/>
        <v>179618.30000000002</v>
      </c>
      <c r="N10" s="233"/>
      <c r="O10" s="233"/>
      <c r="P10" s="193"/>
      <c r="Q10" s="192"/>
    </row>
    <row r="11" spans="1:17" s="194" customFormat="1" ht="29.25" customHeight="1">
      <c r="A11" s="238"/>
      <c r="B11" s="299" t="s">
        <v>135</v>
      </c>
      <c r="C11" s="303"/>
      <c r="D11" s="301">
        <v>10767.8</v>
      </c>
      <c r="E11" s="83">
        <v>16200</v>
      </c>
      <c r="F11" s="83">
        <v>16434.3</v>
      </c>
      <c r="G11" s="227">
        <f t="shared" ref="G11" si="3">F11-E11</f>
        <v>234.29999999999927</v>
      </c>
      <c r="H11" s="227">
        <f t="shared" ref="H11" si="4">(F11/E11)*100</f>
        <v>101.4462962962963</v>
      </c>
      <c r="J11" s="231"/>
      <c r="K11" s="241"/>
      <c r="L11" s="241"/>
      <c r="M11" s="241"/>
      <c r="N11" s="233"/>
      <c r="O11" s="233"/>
      <c r="P11" s="241"/>
    </row>
    <row r="12" spans="1:17" s="194" customFormat="1" ht="27" customHeight="1">
      <c r="A12" s="238"/>
      <c r="B12" s="299" t="s">
        <v>136</v>
      </c>
      <c r="C12" s="303"/>
      <c r="D12" s="301">
        <v>703.6</v>
      </c>
      <c r="E12" s="83">
        <v>1200</v>
      </c>
      <c r="F12" s="83">
        <v>871.5</v>
      </c>
      <c r="G12" s="227">
        <f t="shared" ref="G12:G75" si="5">F12-E12</f>
        <v>-328.5</v>
      </c>
      <c r="H12" s="227">
        <f t="shared" ref="H12:H75" si="6">(F12/E12)*100</f>
        <v>72.625</v>
      </c>
      <c r="J12" s="231">
        <v>1010</v>
      </c>
      <c r="K12" s="232">
        <f>SUM(D9,D59,D117,D131,D154,D169,D187,D214,D253)</f>
        <v>134401.70000000001</v>
      </c>
      <c r="L12" s="232">
        <f t="shared" ref="L12:M12" si="7">SUM(E9,E59,E117,E131,E154,E169,E187,E214,E253)</f>
        <v>147553.70000000001</v>
      </c>
      <c r="M12" s="232">
        <f t="shared" si="7"/>
        <v>164294.1</v>
      </c>
      <c r="N12" s="233"/>
      <c r="O12" s="233"/>
      <c r="P12" s="232"/>
    </row>
    <row r="13" spans="1:17" s="194" customFormat="1" ht="42" customHeight="1">
      <c r="A13" s="238"/>
      <c r="B13" s="299" t="s">
        <v>154</v>
      </c>
      <c r="C13" s="303"/>
      <c r="D13" s="301">
        <v>345.5</v>
      </c>
      <c r="E13" s="83">
        <v>660</v>
      </c>
      <c r="F13" s="83">
        <f>495.7+115.1</f>
        <v>610.79999999999995</v>
      </c>
      <c r="G13" s="227">
        <f t="shared" si="5"/>
        <v>-49.200000000000045</v>
      </c>
      <c r="H13" s="227">
        <f t="shared" si="6"/>
        <v>92.545454545454547</v>
      </c>
      <c r="J13" s="231">
        <v>1011</v>
      </c>
      <c r="K13" s="241">
        <f>SUM(D10,D60,D118,D132,D155,D188,D215)</f>
        <v>29750.6</v>
      </c>
      <c r="L13" s="241">
        <f t="shared" ref="L13:M13" si="8">SUM(E10,E60,E118,E132,E155,E188,E215)</f>
        <v>25099</v>
      </c>
      <c r="M13" s="241">
        <f t="shared" si="8"/>
        <v>31358.799999999999</v>
      </c>
      <c r="N13" s="233"/>
      <c r="O13" s="233"/>
      <c r="P13" s="241"/>
    </row>
    <row r="14" spans="1:17" s="194" customFormat="1" ht="27.75" customHeight="1">
      <c r="A14" s="238"/>
      <c r="B14" s="309" t="s">
        <v>155</v>
      </c>
      <c r="C14" s="303"/>
      <c r="D14" s="301">
        <v>29.1</v>
      </c>
      <c r="E14" s="83">
        <v>252</v>
      </c>
      <c r="F14" s="83">
        <v>0.7</v>
      </c>
      <c r="G14" s="227">
        <f t="shared" si="5"/>
        <v>-251.3</v>
      </c>
      <c r="H14" s="227">
        <f t="shared" si="6"/>
        <v>0.27777777777777773</v>
      </c>
      <c r="J14" s="231">
        <v>1012</v>
      </c>
      <c r="K14" s="241">
        <f>SUM(D16,D66,)</f>
        <v>69877.600000000006</v>
      </c>
      <c r="L14" s="241">
        <f t="shared" ref="L14:M14" si="9">SUM(E16,E66,)</f>
        <v>82964.2</v>
      </c>
      <c r="M14" s="241">
        <f t="shared" si="9"/>
        <v>91011.200000000012</v>
      </c>
      <c r="N14" s="233"/>
      <c r="O14" s="233"/>
      <c r="P14" s="241"/>
    </row>
    <row r="15" spans="1:17" s="194" customFormat="1" ht="27" customHeight="1">
      <c r="A15" s="238"/>
      <c r="B15" s="299" t="s">
        <v>168</v>
      </c>
      <c r="C15" s="303"/>
      <c r="D15" s="301">
        <v>146.6</v>
      </c>
      <c r="E15" s="83">
        <v>456</v>
      </c>
      <c r="F15" s="83">
        <f>279.8</f>
        <v>279.8</v>
      </c>
      <c r="G15" s="227">
        <f t="shared" si="5"/>
        <v>-176.2</v>
      </c>
      <c r="H15" s="227">
        <f t="shared" si="6"/>
        <v>61.359649122807028</v>
      </c>
      <c r="J15" s="231">
        <v>1013</v>
      </c>
      <c r="K15" s="241">
        <f>SUM(D17,D67)</f>
        <v>14810.6</v>
      </c>
      <c r="L15" s="241">
        <f t="shared" ref="L15:M15" si="10">SUM(E17,E67)</f>
        <v>18086.8</v>
      </c>
      <c r="M15" s="241">
        <f t="shared" si="10"/>
        <v>18999.5</v>
      </c>
      <c r="N15" s="232"/>
      <c r="O15" s="232"/>
      <c r="P15" s="241"/>
    </row>
    <row r="16" spans="1:17" s="194" customFormat="1" ht="26.25" customHeight="1">
      <c r="A16" s="234" t="s">
        <v>137</v>
      </c>
      <c r="B16" s="235" t="s">
        <v>2</v>
      </c>
      <c r="C16" s="242">
        <v>1012</v>
      </c>
      <c r="D16" s="117">
        <v>69547.100000000006</v>
      </c>
      <c r="E16" s="117">
        <v>82684.2</v>
      </c>
      <c r="F16" s="117">
        <v>90827.1</v>
      </c>
      <c r="G16" s="237">
        <f t="shared" si="5"/>
        <v>8142.9000000000087</v>
      </c>
      <c r="H16" s="237">
        <f t="shared" si="6"/>
        <v>109.84819348799408</v>
      </c>
      <c r="J16" s="231">
        <v>1014</v>
      </c>
      <c r="K16" s="241">
        <f>SUM(D18,D68,D194,D220,D254)</f>
        <v>6378.7</v>
      </c>
      <c r="L16" s="241">
        <f t="shared" ref="L16:M16" si="11">SUM(E18,E68,E194,E220,E254)</f>
        <v>4280</v>
      </c>
      <c r="M16" s="241">
        <f>SUM(F18,F68,F194,F220,F254)</f>
        <v>6556.9000000000005</v>
      </c>
      <c r="N16" s="241"/>
      <c r="O16" s="241"/>
      <c r="P16" s="241"/>
    </row>
    <row r="17" spans="1:18" s="194" customFormat="1" ht="27" customHeight="1">
      <c r="A17" s="234" t="s">
        <v>138</v>
      </c>
      <c r="B17" s="235" t="s">
        <v>3</v>
      </c>
      <c r="C17" s="242">
        <v>1013</v>
      </c>
      <c r="D17" s="117">
        <v>14737.9</v>
      </c>
      <c r="E17" s="117">
        <v>18025.2</v>
      </c>
      <c r="F17" s="117">
        <v>18961.900000000001</v>
      </c>
      <c r="G17" s="237">
        <f t="shared" si="5"/>
        <v>936.70000000000073</v>
      </c>
      <c r="H17" s="237">
        <f t="shared" si="6"/>
        <v>105.19661362980716</v>
      </c>
      <c r="J17" s="231">
        <v>1015</v>
      </c>
      <c r="K17" s="241">
        <f>SUM(D19,D69,D120,D136,D170,D195,D221,)</f>
        <v>13584.200000000003</v>
      </c>
      <c r="L17" s="241">
        <f t="shared" ref="L17:M17" si="12">SUM(E19,E69,E120,E136,E170,E195,E221,)</f>
        <v>17123.699999999997</v>
      </c>
      <c r="M17" s="241">
        <f t="shared" si="12"/>
        <v>16367.699999999999</v>
      </c>
      <c r="N17" s="241"/>
      <c r="O17" s="241"/>
      <c r="P17" s="241"/>
      <c r="Q17" s="192"/>
      <c r="R17" s="192"/>
    </row>
    <row r="18" spans="1:18" s="194" customFormat="1" ht="26.25" customHeight="1">
      <c r="A18" s="234" t="s">
        <v>139</v>
      </c>
      <c r="B18" s="235" t="s">
        <v>4</v>
      </c>
      <c r="C18" s="242">
        <v>1014</v>
      </c>
      <c r="D18" s="117">
        <v>160.4</v>
      </c>
      <c r="E18" s="117"/>
      <c r="F18" s="117">
        <v>649.9</v>
      </c>
      <c r="G18" s="237">
        <f t="shared" si="5"/>
        <v>649.9</v>
      </c>
      <c r="H18" s="269" t="e">
        <f t="shared" si="6"/>
        <v>#DIV/0!</v>
      </c>
      <c r="I18" s="243"/>
      <c r="J18" s="231"/>
      <c r="K18" s="241"/>
      <c r="L18" s="241"/>
      <c r="M18" s="241"/>
      <c r="N18" s="241"/>
      <c r="O18" s="241"/>
      <c r="P18" s="241"/>
    </row>
    <row r="19" spans="1:18" s="194" customFormat="1" ht="26.25" customHeight="1">
      <c r="A19" s="234" t="s">
        <v>140</v>
      </c>
      <c r="B19" s="235" t="s">
        <v>141</v>
      </c>
      <c r="C19" s="242">
        <v>1015</v>
      </c>
      <c r="D19" s="117">
        <f>SUM(D20:D37)</f>
        <v>2003.5</v>
      </c>
      <c r="E19" s="117">
        <f t="shared" ref="E19:F19" si="13">SUM(E20:E37)</f>
        <v>5057</v>
      </c>
      <c r="F19" s="117">
        <f t="shared" si="13"/>
        <v>2806.9</v>
      </c>
      <c r="G19" s="237">
        <f t="shared" si="5"/>
        <v>-2250.1</v>
      </c>
      <c r="H19" s="237">
        <f t="shared" si="6"/>
        <v>55.505240261024326</v>
      </c>
      <c r="I19" s="244"/>
      <c r="J19" s="231">
        <v>1020</v>
      </c>
      <c r="K19" s="232">
        <f>SUM(D38,D92,D123,D144,D176,D206,D232,D256)</f>
        <v>7994.9999999999991</v>
      </c>
      <c r="L19" s="232">
        <f t="shared" ref="L19:M19" si="14">SUM(E38,E92,E123,E144,E176,E206,E232,E256)</f>
        <v>11833.9</v>
      </c>
      <c r="M19" s="232">
        <f t="shared" si="14"/>
        <v>13478.599999999999</v>
      </c>
      <c r="N19" s="241"/>
      <c r="O19" s="241"/>
      <c r="P19" s="241"/>
    </row>
    <row r="20" spans="1:18" s="194" customFormat="1" ht="27" customHeight="1">
      <c r="A20" s="245"/>
      <c r="B20" s="310" t="s">
        <v>142</v>
      </c>
      <c r="C20" s="316"/>
      <c r="D20" s="312">
        <v>76.900000000000006</v>
      </c>
      <c r="E20" s="83">
        <v>60</v>
      </c>
      <c r="F20" s="83">
        <f>48.9+0.4+3.8</f>
        <v>53.099999999999994</v>
      </c>
      <c r="G20" s="227">
        <f t="shared" si="5"/>
        <v>-6.9000000000000057</v>
      </c>
      <c r="H20" s="227">
        <f t="shared" si="6"/>
        <v>88.499999999999986</v>
      </c>
      <c r="J20" s="231">
        <v>1021</v>
      </c>
      <c r="K20" s="241">
        <f>SUM(D39,D93,D145,D207,D233,)</f>
        <v>113.4</v>
      </c>
      <c r="L20" s="241">
        <f t="shared" ref="L20:M20" si="15">SUM(E39,E93,E145,E207,E233,)</f>
        <v>15</v>
      </c>
      <c r="M20" s="241">
        <f t="shared" si="15"/>
        <v>61.4</v>
      </c>
      <c r="N20" s="241"/>
      <c r="O20" s="241"/>
      <c r="P20" s="232"/>
    </row>
    <row r="21" spans="1:18" s="194" customFormat="1" ht="26.25" customHeight="1">
      <c r="A21" s="245"/>
      <c r="B21" s="317" t="s">
        <v>143</v>
      </c>
      <c r="C21" s="316"/>
      <c r="D21" s="312">
        <v>447.9</v>
      </c>
      <c r="E21" s="83">
        <v>682</v>
      </c>
      <c r="F21" s="83">
        <f>32.2+125.2+161.7</f>
        <v>319.10000000000002</v>
      </c>
      <c r="G21" s="227">
        <f t="shared" si="5"/>
        <v>-362.9</v>
      </c>
      <c r="H21" s="227">
        <f t="shared" si="6"/>
        <v>46.788856304985337</v>
      </c>
      <c r="J21" s="231">
        <v>1022</v>
      </c>
      <c r="K21" s="241">
        <f>SUM(D43,)</f>
        <v>5198.8999999999996</v>
      </c>
      <c r="L21" s="241">
        <f t="shared" ref="L21:M21" si="16">SUM(E43,)</f>
        <v>8680.6</v>
      </c>
      <c r="M21" s="241">
        <f t="shared" si="16"/>
        <v>6429.5</v>
      </c>
      <c r="N21" s="233"/>
      <c r="O21" s="233"/>
      <c r="P21" s="241"/>
    </row>
    <row r="22" spans="1:18" s="194" customFormat="1" ht="26.25" customHeight="1">
      <c r="A22" s="245"/>
      <c r="B22" s="317" t="s">
        <v>144</v>
      </c>
      <c r="C22" s="316"/>
      <c r="D22" s="312">
        <v>105.7</v>
      </c>
      <c r="E22" s="83">
        <v>90</v>
      </c>
      <c r="F22" s="83">
        <f>62.6+21.9+8</f>
        <v>92.5</v>
      </c>
      <c r="G22" s="227">
        <f t="shared" si="5"/>
        <v>2.5</v>
      </c>
      <c r="H22" s="227">
        <f t="shared" si="6"/>
        <v>102.77777777777777</v>
      </c>
      <c r="J22" s="231">
        <v>1023</v>
      </c>
      <c r="K22" s="241">
        <f>SUM(D44,)</f>
        <v>1071.9000000000001</v>
      </c>
      <c r="L22" s="241">
        <f t="shared" ref="L22:M22" si="17">SUM(E44,)</f>
        <v>1892.4</v>
      </c>
      <c r="M22" s="241">
        <f t="shared" si="17"/>
        <v>1374.2</v>
      </c>
      <c r="N22" s="233"/>
      <c r="O22" s="233"/>
      <c r="P22" s="241"/>
    </row>
    <row r="23" spans="1:18" s="194" customFormat="1" ht="26.25" customHeight="1">
      <c r="A23" s="245"/>
      <c r="B23" s="317" t="s">
        <v>145</v>
      </c>
      <c r="C23" s="316"/>
      <c r="D23" s="312">
        <v>141.9</v>
      </c>
      <c r="E23" s="83">
        <v>2330</v>
      </c>
      <c r="F23" s="83">
        <f>23.5+22.9</f>
        <v>46.4</v>
      </c>
      <c r="G23" s="227">
        <f t="shared" si="5"/>
        <v>-2283.6</v>
      </c>
      <c r="H23" s="227">
        <f t="shared" si="6"/>
        <v>1.9914163090128754</v>
      </c>
      <c r="J23" s="231">
        <v>1024</v>
      </c>
      <c r="K23" s="241">
        <f>SUM(D257)</f>
        <v>475.4</v>
      </c>
      <c r="L23" s="241">
        <f t="shared" ref="L23:M23" si="18">SUM(E257)</f>
        <v>236</v>
      </c>
      <c r="M23" s="241">
        <f t="shared" si="18"/>
        <v>4230.8</v>
      </c>
      <c r="N23" s="233"/>
      <c r="O23" s="233"/>
      <c r="P23" s="241"/>
    </row>
    <row r="24" spans="1:18" s="194" customFormat="1" ht="26.25" customHeight="1">
      <c r="A24" s="245"/>
      <c r="B24" s="317" t="s">
        <v>249</v>
      </c>
      <c r="C24" s="316"/>
      <c r="D24" s="312"/>
      <c r="E24" s="83">
        <v>400</v>
      </c>
      <c r="F24" s="83"/>
      <c r="G24" s="227">
        <f t="shared" si="5"/>
        <v>-400</v>
      </c>
      <c r="H24" s="227">
        <f t="shared" si="6"/>
        <v>0</v>
      </c>
      <c r="J24" s="186">
        <v>1025</v>
      </c>
      <c r="K24" s="241">
        <f>SUM(D45,D97,D124,D147,D177,D210,D236,)</f>
        <v>1135.4000000000001</v>
      </c>
      <c r="L24" s="241">
        <f t="shared" ref="L24:M24" si="19">SUM(E45,E97,E124,E147,E177,E210,E236,)</f>
        <v>1009.9</v>
      </c>
      <c r="M24" s="241">
        <f t="shared" si="19"/>
        <v>1382.7</v>
      </c>
      <c r="N24" s="233"/>
      <c r="O24" s="233"/>
      <c r="P24" s="241"/>
    </row>
    <row r="25" spans="1:18" s="194" customFormat="1" ht="26.25" customHeight="1">
      <c r="A25" s="245"/>
      <c r="B25" s="317" t="s">
        <v>250</v>
      </c>
      <c r="C25" s="316"/>
      <c r="D25" s="312"/>
      <c r="E25" s="83"/>
      <c r="F25" s="83">
        <v>278.89999999999998</v>
      </c>
      <c r="G25" s="227">
        <f t="shared" si="5"/>
        <v>278.89999999999998</v>
      </c>
      <c r="H25" s="270" t="e">
        <f t="shared" si="6"/>
        <v>#DIV/0!</v>
      </c>
      <c r="I25" s="192"/>
      <c r="J25" s="231"/>
      <c r="K25" s="241"/>
      <c r="L25" s="241"/>
      <c r="M25" s="241"/>
      <c r="N25" s="233"/>
      <c r="O25" s="233"/>
      <c r="P25" s="241"/>
    </row>
    <row r="26" spans="1:18" s="194" customFormat="1" ht="26.25" customHeight="1">
      <c r="A26" s="245"/>
      <c r="B26" s="317" t="s">
        <v>146</v>
      </c>
      <c r="C26" s="316" t="s">
        <v>199</v>
      </c>
      <c r="D26" s="312">
        <v>704.9</v>
      </c>
      <c r="E26" s="83">
        <v>720</v>
      </c>
      <c r="F26" s="83">
        <f>23.5+192.5+180</f>
        <v>396</v>
      </c>
      <c r="G26" s="227">
        <f t="shared" si="5"/>
        <v>-324</v>
      </c>
      <c r="H26" s="227">
        <f t="shared" si="6"/>
        <v>55.000000000000007</v>
      </c>
      <c r="J26" s="231">
        <v>1030</v>
      </c>
      <c r="K26" s="232">
        <f>SUM(D52,D109,D162,D182,D247,)</f>
        <v>1905.5</v>
      </c>
      <c r="L26" s="232">
        <f t="shared" ref="L26:M26" si="20">SUM(E52,E109,E162,E182,E247,)</f>
        <v>281</v>
      </c>
      <c r="M26" s="232">
        <f t="shared" si="20"/>
        <v>1845.5999999999995</v>
      </c>
      <c r="N26" s="233"/>
      <c r="O26" s="233"/>
      <c r="P26" s="241"/>
    </row>
    <row r="27" spans="1:18" s="194" customFormat="1" ht="26.25" customHeight="1">
      <c r="A27" s="245"/>
      <c r="B27" s="317" t="s">
        <v>147</v>
      </c>
      <c r="C27" s="316"/>
      <c r="D27" s="312">
        <v>109</v>
      </c>
      <c r="E27" s="83">
        <v>200</v>
      </c>
      <c r="F27" s="83">
        <f>96.4+9</f>
        <v>105.4</v>
      </c>
      <c r="G27" s="227">
        <f t="shared" si="5"/>
        <v>-94.6</v>
      </c>
      <c r="H27" s="227">
        <f t="shared" si="6"/>
        <v>52.7</v>
      </c>
      <c r="J27" s="231">
        <v>1031</v>
      </c>
      <c r="K27" s="241"/>
      <c r="L27" s="241"/>
      <c r="M27" s="241"/>
      <c r="N27" s="233"/>
      <c r="O27" s="233"/>
      <c r="P27" s="241"/>
    </row>
    <row r="28" spans="1:18" s="194" customFormat="1" ht="26.25" customHeight="1">
      <c r="A28" s="245"/>
      <c r="B28" s="317" t="s">
        <v>157</v>
      </c>
      <c r="C28" s="316"/>
      <c r="D28" s="312">
        <v>50.6</v>
      </c>
      <c r="E28" s="199">
        <v>20</v>
      </c>
      <c r="F28" s="83">
        <f>128.5+69.8+102.6+180</f>
        <v>480.9</v>
      </c>
      <c r="G28" s="227">
        <f t="shared" si="5"/>
        <v>460.9</v>
      </c>
      <c r="H28" s="227">
        <f t="shared" si="6"/>
        <v>2404.5</v>
      </c>
      <c r="J28" s="231">
        <v>1032</v>
      </c>
      <c r="K28" s="241">
        <f>SUM(D53)</f>
        <v>1306.4000000000001</v>
      </c>
      <c r="L28" s="241">
        <f t="shared" ref="L28:M28" si="21">SUM(E53)</f>
        <v>0</v>
      </c>
      <c r="M28" s="241">
        <f t="shared" si="21"/>
        <v>1091.8</v>
      </c>
      <c r="N28" s="233"/>
      <c r="O28" s="233"/>
      <c r="P28" s="241"/>
    </row>
    <row r="29" spans="1:18" s="194" customFormat="1" ht="26.25" customHeight="1">
      <c r="A29" s="245"/>
      <c r="B29" s="317" t="s">
        <v>217</v>
      </c>
      <c r="C29" s="316"/>
      <c r="D29" s="312">
        <v>12</v>
      </c>
      <c r="E29" s="83">
        <v>36</v>
      </c>
      <c r="F29" s="83"/>
      <c r="G29" s="227">
        <f t="shared" si="5"/>
        <v>-36</v>
      </c>
      <c r="H29" s="227">
        <f t="shared" si="6"/>
        <v>0</v>
      </c>
      <c r="J29" s="231">
        <v>1033</v>
      </c>
      <c r="K29" s="241">
        <f>SUM(D54)</f>
        <v>336.1</v>
      </c>
      <c r="L29" s="241">
        <f t="shared" ref="L29:M29" si="22">SUM(E54)</f>
        <v>0</v>
      </c>
      <c r="M29" s="241">
        <f t="shared" si="22"/>
        <v>411.9</v>
      </c>
      <c r="N29" s="233"/>
      <c r="O29" s="233"/>
      <c r="P29" s="241"/>
    </row>
    <row r="30" spans="1:18" s="194" customFormat="1" ht="26.25" customHeight="1">
      <c r="A30" s="245"/>
      <c r="B30" s="317" t="s">
        <v>160</v>
      </c>
      <c r="C30" s="316"/>
      <c r="D30" s="312">
        <v>90</v>
      </c>
      <c r="E30" s="83">
        <v>198</v>
      </c>
      <c r="F30" s="83">
        <f>80.5+53.7+70</f>
        <v>204.2</v>
      </c>
      <c r="G30" s="227">
        <f t="shared" si="5"/>
        <v>6.1999999999999886</v>
      </c>
      <c r="H30" s="227">
        <f t="shared" si="6"/>
        <v>103.13131313131312</v>
      </c>
      <c r="J30" s="231">
        <v>1034</v>
      </c>
      <c r="K30" s="241"/>
      <c r="L30" s="241"/>
      <c r="M30" s="241"/>
      <c r="N30" s="233"/>
      <c r="O30" s="233"/>
      <c r="P30" s="241"/>
      <c r="R30" s="192"/>
    </row>
    <row r="31" spans="1:18" s="194" customFormat="1" ht="26.25" customHeight="1">
      <c r="A31" s="245"/>
      <c r="B31" s="317" t="s">
        <v>158</v>
      </c>
      <c r="C31" s="316"/>
      <c r="D31" s="312">
        <v>2.7</v>
      </c>
      <c r="E31" s="83">
        <v>48</v>
      </c>
      <c r="F31" s="83">
        <f>74.5+68+26</f>
        <v>168.5</v>
      </c>
      <c r="G31" s="227">
        <f t="shared" si="5"/>
        <v>120.5</v>
      </c>
      <c r="H31" s="227">
        <f t="shared" si="6"/>
        <v>351.04166666666663</v>
      </c>
      <c r="J31" s="231">
        <v>1035</v>
      </c>
      <c r="K31" s="241">
        <f>SUM(D55,D110,D163,D183,D248)</f>
        <v>263</v>
      </c>
      <c r="L31" s="241">
        <f t="shared" ref="L31:M31" si="23">SUM(E55,E110,E163,E183,E248)</f>
        <v>281</v>
      </c>
      <c r="M31" s="241">
        <f t="shared" si="23"/>
        <v>341.9</v>
      </c>
      <c r="N31" s="233"/>
      <c r="O31" s="233"/>
      <c r="P31" s="241"/>
    </row>
    <row r="32" spans="1:18" s="194" customFormat="1" ht="26.25" customHeight="1">
      <c r="A32" s="245"/>
      <c r="B32" s="317" t="s">
        <v>159</v>
      </c>
      <c r="C32" s="316"/>
      <c r="D32" s="312">
        <v>154.1</v>
      </c>
      <c r="E32" s="83">
        <v>170</v>
      </c>
      <c r="F32" s="83">
        <f>19.3+596.4</f>
        <v>615.69999999999993</v>
      </c>
      <c r="G32" s="227">
        <f t="shared" si="5"/>
        <v>445.69999999999993</v>
      </c>
      <c r="H32" s="227">
        <f t="shared" si="6"/>
        <v>362.17647058823525</v>
      </c>
      <c r="J32" s="231"/>
      <c r="K32" s="241"/>
      <c r="L32" s="241"/>
      <c r="M32" s="241"/>
      <c r="N32" s="233"/>
      <c r="O32" s="233"/>
      <c r="P32" s="241"/>
    </row>
    <row r="33" spans="1:16" s="194" customFormat="1" ht="29.25" customHeight="1">
      <c r="A33" s="245"/>
      <c r="B33" s="310" t="s">
        <v>148</v>
      </c>
      <c r="C33" s="316"/>
      <c r="D33" s="312">
        <v>64.900000000000006</v>
      </c>
      <c r="E33" s="83">
        <v>88</v>
      </c>
      <c r="F33" s="83"/>
      <c r="G33" s="227">
        <f t="shared" si="5"/>
        <v>-88</v>
      </c>
      <c r="H33" s="227">
        <f t="shared" si="6"/>
        <v>0</v>
      </c>
      <c r="J33" s="186">
        <v>9000</v>
      </c>
      <c r="K33" s="284">
        <f>K13+K20</f>
        <v>29864</v>
      </c>
      <c r="L33" s="284">
        <f t="shared" ref="L33:M33" si="24">L13+L20</f>
        <v>25114</v>
      </c>
      <c r="M33" s="284">
        <f t="shared" si="24"/>
        <v>31420.2</v>
      </c>
      <c r="N33" s="233"/>
      <c r="O33" s="233"/>
      <c r="P33" s="241"/>
    </row>
    <row r="34" spans="1:16" s="194" customFormat="1" ht="29.25" customHeight="1">
      <c r="A34" s="245"/>
      <c r="B34" s="310" t="s">
        <v>243</v>
      </c>
      <c r="C34" s="316"/>
      <c r="D34" s="312"/>
      <c r="E34" s="83">
        <v>15</v>
      </c>
      <c r="F34" s="83"/>
      <c r="G34" s="227">
        <f t="shared" si="5"/>
        <v>-15</v>
      </c>
      <c r="H34" s="227">
        <f t="shared" si="6"/>
        <v>0</v>
      </c>
      <c r="J34" s="186">
        <v>9010</v>
      </c>
      <c r="K34" s="284">
        <f>K14+K21+K28</f>
        <v>76382.899999999994</v>
      </c>
      <c r="L34" s="284">
        <f t="shared" ref="L34:M34" si="25">L14+L21+L28</f>
        <v>91644.800000000003</v>
      </c>
      <c r="M34" s="284">
        <f t="shared" si="25"/>
        <v>98532.500000000015</v>
      </c>
      <c r="N34" s="233"/>
      <c r="O34" s="233"/>
      <c r="P34" s="241"/>
    </row>
    <row r="35" spans="1:16" s="194" customFormat="1" ht="29.25" customHeight="1">
      <c r="A35" s="245"/>
      <c r="B35" s="310" t="s">
        <v>363</v>
      </c>
      <c r="C35" s="316"/>
      <c r="D35" s="312">
        <v>26.7</v>
      </c>
      <c r="E35" s="83"/>
      <c r="F35" s="83"/>
      <c r="G35" s="227">
        <f t="shared" si="5"/>
        <v>0</v>
      </c>
      <c r="H35" s="270" t="e">
        <f t="shared" si="6"/>
        <v>#DIV/0!</v>
      </c>
      <c r="J35" s="186">
        <v>9020</v>
      </c>
      <c r="K35" s="284">
        <f>K15+K22+K29</f>
        <v>16218.6</v>
      </c>
      <c r="L35" s="284">
        <f t="shared" ref="L35:M35" si="26">L15+L22+L29</f>
        <v>19979.2</v>
      </c>
      <c r="M35" s="284">
        <f t="shared" si="26"/>
        <v>20785.600000000002</v>
      </c>
      <c r="N35" s="233"/>
      <c r="O35" s="233"/>
      <c r="P35" s="241"/>
    </row>
    <row r="36" spans="1:16" s="194" customFormat="1" ht="26.25" customHeight="1">
      <c r="A36" s="245"/>
      <c r="B36" s="317" t="s">
        <v>156</v>
      </c>
      <c r="C36" s="316"/>
      <c r="D36" s="312">
        <v>2.2000000000000002</v>
      </c>
      <c r="E36" s="83"/>
      <c r="F36" s="83">
        <v>2.4</v>
      </c>
      <c r="G36" s="227">
        <f t="shared" si="5"/>
        <v>2.4</v>
      </c>
      <c r="H36" s="270" t="e">
        <f t="shared" si="6"/>
        <v>#DIV/0!</v>
      </c>
      <c r="J36" s="231">
        <v>9030</v>
      </c>
      <c r="K36" s="284">
        <f>K16+K23</f>
        <v>6854.0999999999995</v>
      </c>
      <c r="L36" s="241">
        <f t="shared" ref="L36:M36" si="27">L16+L23</f>
        <v>4516</v>
      </c>
      <c r="M36" s="241">
        <f t="shared" si="27"/>
        <v>10787.7</v>
      </c>
      <c r="N36" s="241"/>
      <c r="O36" s="233"/>
      <c r="P36" s="241"/>
    </row>
    <row r="37" spans="1:16" s="194" customFormat="1" ht="26.25" customHeight="1">
      <c r="A37" s="245"/>
      <c r="B37" s="317" t="s">
        <v>202</v>
      </c>
      <c r="C37" s="316"/>
      <c r="D37" s="312">
        <v>14</v>
      </c>
      <c r="E37" s="83"/>
      <c r="F37" s="83">
        <v>43.8</v>
      </c>
      <c r="G37" s="227">
        <f t="shared" si="5"/>
        <v>43.8</v>
      </c>
      <c r="H37" s="270" t="e">
        <f t="shared" si="6"/>
        <v>#DIV/0!</v>
      </c>
      <c r="J37" s="186">
        <v>9040</v>
      </c>
      <c r="K37" s="284">
        <f>K17+K24+K31</f>
        <v>14982.600000000002</v>
      </c>
      <c r="L37" s="241">
        <f t="shared" ref="L37:M37" si="28">L17+L24+L31</f>
        <v>18414.599999999999</v>
      </c>
      <c r="M37" s="241">
        <f t="shared" si="28"/>
        <v>18092.3</v>
      </c>
      <c r="N37" s="233"/>
      <c r="O37" s="233"/>
      <c r="P37" s="241"/>
    </row>
    <row r="38" spans="1:16" s="194" customFormat="1" ht="26.25" customHeight="1">
      <c r="A38" s="229" t="s">
        <v>87</v>
      </c>
      <c r="B38" s="226" t="s">
        <v>91</v>
      </c>
      <c r="C38" s="190">
        <v>1020</v>
      </c>
      <c r="D38" s="167">
        <f>D43+D44+D45+D39</f>
        <v>6921.7999999999993</v>
      </c>
      <c r="E38" s="167">
        <f>E43+E44+E45+E39</f>
        <v>11101</v>
      </c>
      <c r="F38" s="167">
        <f>F43+F44+F45+F39</f>
        <v>8143.2</v>
      </c>
      <c r="G38" s="191">
        <f t="shared" si="5"/>
        <v>-2957.8</v>
      </c>
      <c r="H38" s="191">
        <f t="shared" si="6"/>
        <v>73.355553553733898</v>
      </c>
      <c r="I38" s="244"/>
      <c r="J38" s="231">
        <v>9050</v>
      </c>
      <c r="K38" s="232">
        <f>SUM(K33:K37)</f>
        <v>144302.20000000001</v>
      </c>
      <c r="L38" s="232">
        <f t="shared" ref="L38:M38" si="29">SUM(L33:L37)</f>
        <v>159668.6</v>
      </c>
      <c r="M38" s="195">
        <f t="shared" si="29"/>
        <v>179618.30000000002</v>
      </c>
      <c r="N38" s="233"/>
      <c r="O38" s="233"/>
      <c r="P38" s="241"/>
    </row>
    <row r="39" spans="1:16" s="194" customFormat="1" ht="26.25" customHeight="1">
      <c r="A39" s="247" t="s">
        <v>234</v>
      </c>
      <c r="B39" s="248" t="s">
        <v>104</v>
      </c>
      <c r="C39" s="249">
        <v>1021</v>
      </c>
      <c r="D39" s="117">
        <f>SUM(D40:D42)</f>
        <v>32</v>
      </c>
      <c r="E39" s="117">
        <f t="shared" ref="E39:F39" si="30">SUM(E40:E42)</f>
        <v>15</v>
      </c>
      <c r="F39" s="117">
        <f t="shared" si="30"/>
        <v>61.4</v>
      </c>
      <c r="G39" s="237">
        <f t="shared" si="5"/>
        <v>46.4</v>
      </c>
      <c r="H39" s="237">
        <f t="shared" si="6"/>
        <v>409.33333333333326</v>
      </c>
      <c r="J39" s="231"/>
      <c r="K39" s="241"/>
      <c r="L39" s="241"/>
      <c r="M39" s="241"/>
      <c r="N39" s="233"/>
      <c r="O39" s="233"/>
      <c r="P39" s="241"/>
    </row>
    <row r="40" spans="1:16" s="194" customFormat="1" ht="26.25" customHeight="1">
      <c r="A40" s="250"/>
      <c r="B40" s="356" t="s">
        <v>216</v>
      </c>
      <c r="C40" s="355"/>
      <c r="D40" s="353">
        <v>20</v>
      </c>
      <c r="E40" s="83"/>
      <c r="F40" s="83">
        <v>61.4</v>
      </c>
      <c r="G40" s="227">
        <f t="shared" si="5"/>
        <v>61.4</v>
      </c>
      <c r="H40" s="270" t="e">
        <f t="shared" si="6"/>
        <v>#DIV/0!</v>
      </c>
      <c r="J40" s="231"/>
      <c r="K40" s="192"/>
      <c r="L40" s="246"/>
      <c r="M40" s="246"/>
      <c r="N40" s="233"/>
      <c r="O40" s="178"/>
    </row>
    <row r="41" spans="1:16" s="194" customFormat="1" ht="26.25" customHeight="1">
      <c r="A41" s="250"/>
      <c r="B41" s="356" t="s">
        <v>155</v>
      </c>
      <c r="C41" s="355"/>
      <c r="D41" s="353">
        <v>7.2</v>
      </c>
      <c r="E41" s="83"/>
      <c r="F41" s="83"/>
      <c r="G41" s="227">
        <f t="shared" si="5"/>
        <v>0</v>
      </c>
      <c r="H41" s="270" t="e">
        <f t="shared" si="6"/>
        <v>#DIV/0!</v>
      </c>
      <c r="J41" s="231"/>
      <c r="K41" s="192"/>
      <c r="L41" s="246"/>
      <c r="M41" s="246"/>
      <c r="N41" s="233"/>
      <c r="O41" s="178"/>
    </row>
    <row r="42" spans="1:16" s="194" customFormat="1" ht="39.75" customHeight="1">
      <c r="A42" s="229"/>
      <c r="B42" s="351" t="s">
        <v>154</v>
      </c>
      <c r="C42" s="355"/>
      <c r="D42" s="353">
        <v>4.8</v>
      </c>
      <c r="E42" s="83">
        <v>15</v>
      </c>
      <c r="F42" s="83"/>
      <c r="G42" s="227">
        <f t="shared" si="5"/>
        <v>-15</v>
      </c>
      <c r="H42" s="191">
        <f t="shared" si="6"/>
        <v>0</v>
      </c>
      <c r="J42" s="231"/>
      <c r="K42" s="192"/>
      <c r="L42" s="246"/>
      <c r="M42" s="246"/>
      <c r="N42" s="233"/>
      <c r="O42" s="178"/>
    </row>
    <row r="43" spans="1:16" s="194" customFormat="1" ht="31.5" customHeight="1">
      <c r="A43" s="234" t="s">
        <v>150</v>
      </c>
      <c r="B43" s="235" t="s">
        <v>2</v>
      </c>
      <c r="C43" s="242">
        <v>1022</v>
      </c>
      <c r="D43" s="117">
        <v>5198.8999999999996</v>
      </c>
      <c r="E43" s="117">
        <v>8680.6</v>
      </c>
      <c r="F43" s="117">
        <v>6429.5</v>
      </c>
      <c r="G43" s="237">
        <f t="shared" si="5"/>
        <v>-2251.1000000000004</v>
      </c>
      <c r="H43" s="237">
        <f t="shared" si="6"/>
        <v>74.067460774600832</v>
      </c>
      <c r="J43" s="231"/>
      <c r="K43" s="193"/>
      <c r="L43" s="251"/>
      <c r="M43" s="251"/>
      <c r="N43" s="178"/>
      <c r="O43" s="252"/>
    </row>
    <row r="44" spans="1:16" s="194" customFormat="1" ht="26.25" customHeight="1">
      <c r="A44" s="234" t="s">
        <v>151</v>
      </c>
      <c r="B44" s="235" t="s">
        <v>3</v>
      </c>
      <c r="C44" s="242">
        <v>1023</v>
      </c>
      <c r="D44" s="117">
        <v>1071.9000000000001</v>
      </c>
      <c r="E44" s="117">
        <v>1892.4</v>
      </c>
      <c r="F44" s="117">
        <v>1374.2</v>
      </c>
      <c r="G44" s="237">
        <f t="shared" si="5"/>
        <v>-518.20000000000005</v>
      </c>
      <c r="H44" s="237">
        <f t="shared" si="6"/>
        <v>72.616782921158318</v>
      </c>
      <c r="J44" s="193"/>
      <c r="K44" s="186"/>
      <c r="L44" s="251"/>
      <c r="M44" s="251"/>
      <c r="N44" s="178"/>
      <c r="O44" s="252"/>
    </row>
    <row r="45" spans="1:16" s="194" customFormat="1" ht="26.25" customHeight="1">
      <c r="A45" s="234" t="s">
        <v>642</v>
      </c>
      <c r="B45" s="235" t="s">
        <v>152</v>
      </c>
      <c r="C45" s="236">
        <v>1025</v>
      </c>
      <c r="D45" s="117">
        <f>SUM(D46:D51)</f>
        <v>619</v>
      </c>
      <c r="E45" s="117">
        <f t="shared" ref="E45:F45" si="31">SUM(E46:E51)</f>
        <v>513</v>
      </c>
      <c r="F45" s="117">
        <f t="shared" si="31"/>
        <v>278.10000000000002</v>
      </c>
      <c r="G45" s="237">
        <f t="shared" si="5"/>
        <v>-234.89999999999998</v>
      </c>
      <c r="H45" s="237">
        <f t="shared" si="6"/>
        <v>54.210526315789473</v>
      </c>
      <c r="I45" s="241"/>
      <c r="J45" s="231"/>
      <c r="K45" s="186"/>
      <c r="L45" s="251"/>
      <c r="M45" s="251"/>
      <c r="N45" s="253"/>
      <c r="O45" s="253"/>
    </row>
    <row r="46" spans="1:16" s="194" customFormat="1" ht="26.25" customHeight="1">
      <c r="A46" s="254"/>
      <c r="B46" s="362" t="s">
        <v>160</v>
      </c>
      <c r="C46" s="369"/>
      <c r="D46" s="364">
        <v>14.1</v>
      </c>
      <c r="E46" s="83">
        <v>63</v>
      </c>
      <c r="F46" s="83"/>
      <c r="G46" s="227">
        <f t="shared" si="5"/>
        <v>-63</v>
      </c>
      <c r="H46" s="227">
        <f t="shared" si="6"/>
        <v>0</v>
      </c>
      <c r="J46" s="193"/>
      <c r="K46" s="186"/>
      <c r="N46" s="253"/>
      <c r="O46" s="253"/>
    </row>
    <row r="47" spans="1:16" s="194" customFormat="1" ht="26.25" customHeight="1">
      <c r="A47" s="254"/>
      <c r="B47" s="362" t="s">
        <v>153</v>
      </c>
      <c r="C47" s="369"/>
      <c r="D47" s="364"/>
      <c r="E47" s="83"/>
      <c r="F47" s="83">
        <v>47.6</v>
      </c>
      <c r="G47" s="227">
        <f t="shared" si="5"/>
        <v>47.6</v>
      </c>
      <c r="H47" s="270" t="e">
        <f t="shared" si="6"/>
        <v>#DIV/0!</v>
      </c>
      <c r="J47" s="231"/>
      <c r="K47" s="186"/>
      <c r="N47" s="253"/>
      <c r="O47" s="253"/>
    </row>
    <row r="48" spans="1:16" s="194" customFormat="1" ht="26.25" customHeight="1">
      <c r="A48" s="254"/>
      <c r="B48" s="362" t="s">
        <v>161</v>
      </c>
      <c r="C48" s="369"/>
      <c r="D48" s="364"/>
      <c r="E48" s="83"/>
      <c r="F48" s="83">
        <f>4.2+5.2</f>
        <v>9.4</v>
      </c>
      <c r="G48" s="227">
        <f t="shared" si="5"/>
        <v>9.4</v>
      </c>
      <c r="H48" s="270" t="e">
        <f t="shared" si="6"/>
        <v>#DIV/0!</v>
      </c>
      <c r="J48" s="231"/>
      <c r="K48" s="186"/>
      <c r="N48" s="253"/>
      <c r="O48" s="253"/>
    </row>
    <row r="49" spans="1:18" s="194" customFormat="1" ht="26.25" customHeight="1">
      <c r="A49" s="254"/>
      <c r="B49" s="362" t="s">
        <v>527</v>
      </c>
      <c r="C49" s="367"/>
      <c r="D49" s="364">
        <v>141.69999999999999</v>
      </c>
      <c r="E49" s="83">
        <v>420</v>
      </c>
      <c r="F49" s="84"/>
      <c r="G49" s="227">
        <f t="shared" si="5"/>
        <v>-420</v>
      </c>
      <c r="H49" s="227">
        <f t="shared" si="6"/>
        <v>0</v>
      </c>
      <c r="J49" s="231"/>
      <c r="K49" s="186"/>
      <c r="N49" s="253"/>
      <c r="O49" s="253"/>
    </row>
    <row r="50" spans="1:18" s="194" customFormat="1" ht="26.25" customHeight="1">
      <c r="A50" s="254"/>
      <c r="B50" s="362" t="s">
        <v>330</v>
      </c>
      <c r="C50" s="369"/>
      <c r="D50" s="364">
        <v>16.2</v>
      </c>
      <c r="E50" s="83">
        <v>30</v>
      </c>
      <c r="F50" s="83">
        <v>23.1</v>
      </c>
      <c r="G50" s="227">
        <f t="shared" si="5"/>
        <v>-6.8999999999999986</v>
      </c>
      <c r="H50" s="227">
        <f t="shared" si="6"/>
        <v>77</v>
      </c>
      <c r="J50" s="231"/>
      <c r="K50" s="186"/>
      <c r="N50" s="253"/>
      <c r="O50" s="253"/>
    </row>
    <row r="51" spans="1:18" s="194" customFormat="1" ht="27" customHeight="1">
      <c r="A51" s="254"/>
      <c r="B51" s="362" t="s">
        <v>213</v>
      </c>
      <c r="C51" s="369"/>
      <c r="D51" s="364">
        <v>447</v>
      </c>
      <c r="E51" s="83"/>
      <c r="F51" s="83">
        <v>198</v>
      </c>
      <c r="G51" s="227">
        <f t="shared" si="5"/>
        <v>198</v>
      </c>
      <c r="H51" s="270" t="e">
        <f t="shared" si="6"/>
        <v>#DIV/0!</v>
      </c>
      <c r="J51" s="231"/>
      <c r="K51" s="186"/>
      <c r="N51" s="252"/>
      <c r="O51" s="252"/>
    </row>
    <row r="52" spans="1:18" s="194" customFormat="1" ht="25.5" customHeight="1">
      <c r="A52" s="229" t="s">
        <v>90</v>
      </c>
      <c r="B52" s="255" t="s">
        <v>92</v>
      </c>
      <c r="C52" s="190">
        <v>1030</v>
      </c>
      <c r="D52" s="167">
        <f>D53+D54+D55</f>
        <v>1662.8</v>
      </c>
      <c r="E52" s="167">
        <f>E53+E54+E55</f>
        <v>30</v>
      </c>
      <c r="F52" s="167">
        <f>F53+F54+F55</f>
        <v>1556.7999999999997</v>
      </c>
      <c r="G52" s="191">
        <f t="shared" si="5"/>
        <v>1526.7999999999997</v>
      </c>
      <c r="H52" s="191">
        <f t="shared" si="6"/>
        <v>5189.3333333333321</v>
      </c>
      <c r="J52" s="231"/>
      <c r="K52" s="186"/>
      <c r="M52" s="246"/>
      <c r="N52" s="178"/>
      <c r="O52" s="178"/>
    </row>
    <row r="53" spans="1:18" s="194" customFormat="1" ht="26.25" customHeight="1">
      <c r="A53" s="234" t="s">
        <v>645</v>
      </c>
      <c r="B53" s="235" t="s">
        <v>2</v>
      </c>
      <c r="C53" s="242">
        <v>1032</v>
      </c>
      <c r="D53" s="117">
        <v>1306.4000000000001</v>
      </c>
      <c r="E53" s="117"/>
      <c r="F53" s="117">
        <v>1091.8</v>
      </c>
      <c r="G53" s="237">
        <f t="shared" si="5"/>
        <v>1091.8</v>
      </c>
      <c r="H53" s="269" t="e">
        <f t="shared" si="6"/>
        <v>#DIV/0!</v>
      </c>
      <c r="J53" s="231"/>
      <c r="K53" s="186"/>
      <c r="N53" s="178"/>
      <c r="O53" s="178"/>
    </row>
    <row r="54" spans="1:18" s="194" customFormat="1" ht="23.25" customHeight="1">
      <c r="A54" s="234" t="s">
        <v>644</v>
      </c>
      <c r="B54" s="235" t="s">
        <v>3</v>
      </c>
      <c r="C54" s="242">
        <v>1033</v>
      </c>
      <c r="D54" s="117">
        <v>336.1</v>
      </c>
      <c r="E54" s="117"/>
      <c r="F54" s="117">
        <v>411.9</v>
      </c>
      <c r="G54" s="237">
        <f t="shared" si="5"/>
        <v>411.9</v>
      </c>
      <c r="H54" s="269" t="e">
        <f t="shared" si="6"/>
        <v>#DIV/0!</v>
      </c>
      <c r="J54" s="231"/>
      <c r="K54" s="186"/>
      <c r="L54" s="256"/>
      <c r="M54" s="256"/>
      <c r="N54" s="178"/>
      <c r="O54" s="178"/>
      <c r="R54" s="178"/>
    </row>
    <row r="55" spans="1:18" s="194" customFormat="1" ht="23.25" customHeight="1">
      <c r="A55" s="234" t="s">
        <v>643</v>
      </c>
      <c r="B55" s="235" t="s">
        <v>92</v>
      </c>
      <c r="C55" s="242">
        <v>1035</v>
      </c>
      <c r="D55" s="117">
        <f>D56</f>
        <v>20.3</v>
      </c>
      <c r="E55" s="117">
        <f>E56</f>
        <v>30</v>
      </c>
      <c r="F55" s="117">
        <f>F56</f>
        <v>53.1</v>
      </c>
      <c r="G55" s="237">
        <f t="shared" si="5"/>
        <v>23.1</v>
      </c>
      <c r="H55" s="237">
        <f t="shared" si="6"/>
        <v>177</v>
      </c>
      <c r="J55" s="231"/>
      <c r="K55" s="186"/>
      <c r="L55" s="256"/>
      <c r="M55" s="256"/>
      <c r="N55" s="178"/>
      <c r="O55" s="178"/>
    </row>
    <row r="56" spans="1:18" s="194" customFormat="1" ht="23.25" customHeight="1">
      <c r="A56" s="234"/>
      <c r="B56" s="372" t="s">
        <v>222</v>
      </c>
      <c r="C56" s="378"/>
      <c r="D56" s="374">
        <v>20.3</v>
      </c>
      <c r="E56" s="83">
        <v>30</v>
      </c>
      <c r="F56" s="83">
        <v>53.1</v>
      </c>
      <c r="G56" s="237">
        <f t="shared" si="5"/>
        <v>23.1</v>
      </c>
      <c r="H56" s="237">
        <f t="shared" si="6"/>
        <v>177</v>
      </c>
      <c r="J56" s="231"/>
      <c r="K56" s="186"/>
      <c r="L56" s="256"/>
      <c r="M56" s="256"/>
      <c r="N56" s="178"/>
      <c r="O56" s="178"/>
    </row>
    <row r="57" spans="1:18" s="100" customFormat="1" ht="27.75" customHeight="1">
      <c r="A57" s="101" t="s">
        <v>93</v>
      </c>
      <c r="B57" s="102" t="s">
        <v>214</v>
      </c>
      <c r="C57" s="103"/>
      <c r="D57" s="94">
        <f>D59+D92+D109</f>
        <v>1513.5</v>
      </c>
      <c r="E57" s="94">
        <f>E59+E92+E109</f>
        <v>1607.5</v>
      </c>
      <c r="F57" s="94">
        <f>F59+F92+F109</f>
        <v>1098.8999999999999</v>
      </c>
      <c r="G57" s="95">
        <f t="shared" si="5"/>
        <v>-508.60000000000014</v>
      </c>
      <c r="H57" s="95">
        <f t="shared" si="6"/>
        <v>68.360808709175728</v>
      </c>
      <c r="I57" s="99"/>
      <c r="J57" s="97"/>
      <c r="K57" s="97"/>
      <c r="L57" s="96"/>
      <c r="N57" s="106"/>
      <c r="O57" s="106"/>
    </row>
    <row r="58" spans="1:18" ht="30.75" customHeight="1">
      <c r="A58" s="234"/>
      <c r="B58" s="287" t="s">
        <v>85</v>
      </c>
      <c r="C58" s="242"/>
      <c r="D58" s="117"/>
      <c r="E58" s="117"/>
      <c r="F58" s="117"/>
      <c r="G58" s="237"/>
      <c r="H58" s="237"/>
      <c r="K58" s="21"/>
    </row>
    <row r="59" spans="1:18" ht="27.75" customHeight="1">
      <c r="A59" s="254" t="s">
        <v>333</v>
      </c>
      <c r="B59" s="257" t="s">
        <v>89</v>
      </c>
      <c r="C59" s="258">
        <v>1010</v>
      </c>
      <c r="D59" s="167">
        <f>D60+D66+D67+D68+D69</f>
        <v>1266.4000000000001</v>
      </c>
      <c r="E59" s="167">
        <f>E60+E66+E67+E69</f>
        <v>1201.0999999999999</v>
      </c>
      <c r="F59" s="167">
        <f>F60+F66+F67+F69+F68</f>
        <v>944.2</v>
      </c>
      <c r="G59" s="191">
        <f t="shared" si="5"/>
        <v>-256.89999999999986</v>
      </c>
      <c r="H59" s="191">
        <f t="shared" si="6"/>
        <v>78.611272999750241</v>
      </c>
    </row>
    <row r="60" spans="1:18" ht="27.75" customHeight="1">
      <c r="A60" s="234" t="s">
        <v>334</v>
      </c>
      <c r="B60" s="235" t="s">
        <v>104</v>
      </c>
      <c r="C60" s="242">
        <v>1011</v>
      </c>
      <c r="D60" s="117">
        <f>SUM(D61:D65)</f>
        <v>205.8</v>
      </c>
      <c r="E60" s="117">
        <f t="shared" ref="E60:F60" si="32">SUM(E61:E65)</f>
        <v>281</v>
      </c>
      <c r="F60" s="117">
        <f t="shared" si="32"/>
        <v>125.89999999999999</v>
      </c>
      <c r="G60" s="237">
        <f t="shared" si="5"/>
        <v>-155.10000000000002</v>
      </c>
      <c r="H60" s="237">
        <f t="shared" si="6"/>
        <v>44.804270462633447</v>
      </c>
    </row>
    <row r="61" spans="1:18" ht="27.75" customHeight="1">
      <c r="A61" s="234"/>
      <c r="B61" s="299" t="s">
        <v>135</v>
      </c>
      <c r="C61" s="307"/>
      <c r="D61" s="301">
        <v>37.5</v>
      </c>
      <c r="E61" s="83">
        <v>90</v>
      </c>
      <c r="F61" s="83">
        <v>9.6</v>
      </c>
      <c r="G61" s="227">
        <f t="shared" si="5"/>
        <v>-80.400000000000006</v>
      </c>
      <c r="H61" s="237">
        <f t="shared" si="6"/>
        <v>10.666666666666666</v>
      </c>
    </row>
    <row r="62" spans="1:18" ht="22.5" customHeight="1">
      <c r="A62" s="234"/>
      <c r="B62" s="299" t="s">
        <v>136</v>
      </c>
      <c r="C62" s="307"/>
      <c r="D62" s="301">
        <v>6.6</v>
      </c>
      <c r="E62" s="83">
        <v>22</v>
      </c>
      <c r="F62" s="83">
        <v>9.6</v>
      </c>
      <c r="G62" s="227">
        <f t="shared" si="5"/>
        <v>-12.4</v>
      </c>
      <c r="H62" s="237">
        <f t="shared" si="6"/>
        <v>43.636363636363633</v>
      </c>
    </row>
    <row r="63" spans="1:18" ht="27.75" customHeight="1">
      <c r="A63" s="234"/>
      <c r="B63" s="299" t="s">
        <v>216</v>
      </c>
      <c r="C63" s="307"/>
      <c r="D63" s="301">
        <v>13.9</v>
      </c>
      <c r="E63" s="83">
        <v>20</v>
      </c>
      <c r="F63" s="83">
        <v>3.3</v>
      </c>
      <c r="G63" s="227">
        <f t="shared" si="5"/>
        <v>-16.7</v>
      </c>
      <c r="H63" s="237">
        <f t="shared" si="6"/>
        <v>16.499999999999996</v>
      </c>
    </row>
    <row r="64" spans="1:18" ht="39" customHeight="1">
      <c r="A64" s="234"/>
      <c r="B64" s="299" t="s">
        <v>154</v>
      </c>
      <c r="C64" s="307"/>
      <c r="D64" s="301">
        <v>86.3</v>
      </c>
      <c r="E64" s="83">
        <v>110</v>
      </c>
      <c r="F64" s="83">
        <f>226.6-180</f>
        <v>46.599999999999994</v>
      </c>
      <c r="G64" s="227">
        <f t="shared" si="5"/>
        <v>-63.400000000000006</v>
      </c>
      <c r="H64" s="237">
        <f t="shared" si="6"/>
        <v>42.36363636363636</v>
      </c>
    </row>
    <row r="65" spans="1:15" ht="25.5" customHeight="1">
      <c r="A65" s="234"/>
      <c r="B65" s="309" t="s">
        <v>155</v>
      </c>
      <c r="C65" s="307"/>
      <c r="D65" s="301">
        <v>61.5</v>
      </c>
      <c r="E65" s="83">
        <v>39</v>
      </c>
      <c r="F65" s="83">
        <v>56.8</v>
      </c>
      <c r="G65" s="227">
        <f t="shared" si="5"/>
        <v>17.799999999999997</v>
      </c>
      <c r="H65" s="237">
        <f t="shared" si="6"/>
        <v>145.64102564102564</v>
      </c>
    </row>
    <row r="66" spans="1:15" ht="25.5" customHeight="1">
      <c r="A66" s="234" t="s">
        <v>335</v>
      </c>
      <c r="B66" s="259" t="s">
        <v>2</v>
      </c>
      <c r="C66" s="242">
        <v>1012</v>
      </c>
      <c r="D66" s="117">
        <v>330.5</v>
      </c>
      <c r="E66" s="117">
        <v>280</v>
      </c>
      <c r="F66" s="117">
        <v>184.1</v>
      </c>
      <c r="G66" s="237">
        <f t="shared" si="5"/>
        <v>-95.9</v>
      </c>
      <c r="H66" s="237">
        <f t="shared" si="6"/>
        <v>65.75</v>
      </c>
      <c r="K66" s="68"/>
    </row>
    <row r="67" spans="1:15" ht="25.5" customHeight="1">
      <c r="A67" s="234" t="s">
        <v>336</v>
      </c>
      <c r="B67" s="259" t="s">
        <v>3</v>
      </c>
      <c r="C67" s="242">
        <v>1013</v>
      </c>
      <c r="D67" s="117">
        <v>72.7</v>
      </c>
      <c r="E67" s="117">
        <v>61.6</v>
      </c>
      <c r="F67" s="117">
        <v>37.6</v>
      </c>
      <c r="G67" s="237">
        <f t="shared" si="5"/>
        <v>-24</v>
      </c>
      <c r="H67" s="237">
        <f t="shared" si="6"/>
        <v>61.038961038961034</v>
      </c>
    </row>
    <row r="68" spans="1:15" ht="25.5" customHeight="1">
      <c r="A68" s="234" t="s">
        <v>337</v>
      </c>
      <c r="B68" s="259" t="s">
        <v>4</v>
      </c>
      <c r="C68" s="242">
        <v>1014</v>
      </c>
      <c r="D68" s="117">
        <v>235.7</v>
      </c>
      <c r="E68" s="117"/>
      <c r="F68" s="117">
        <f>150.6</f>
        <v>150.6</v>
      </c>
      <c r="G68" s="237">
        <f t="shared" si="5"/>
        <v>150.6</v>
      </c>
      <c r="H68" s="269" t="e">
        <f t="shared" si="6"/>
        <v>#DIV/0!</v>
      </c>
      <c r="I68" s="15"/>
      <c r="K68" s="1"/>
    </row>
    <row r="69" spans="1:15" ht="25.5" customHeight="1">
      <c r="A69" s="234" t="s">
        <v>338</v>
      </c>
      <c r="B69" s="260" t="s">
        <v>96</v>
      </c>
      <c r="C69" s="242">
        <v>1015</v>
      </c>
      <c r="D69" s="117">
        <f>SUM(D70:D91)</f>
        <v>421.7000000000001</v>
      </c>
      <c r="E69" s="117">
        <f>SUM(E70:E91)</f>
        <v>578.5</v>
      </c>
      <c r="F69" s="117">
        <f>SUM(F70:F91)</f>
        <v>446</v>
      </c>
      <c r="G69" s="237">
        <f t="shared" si="5"/>
        <v>-132.5</v>
      </c>
      <c r="H69" s="237">
        <f t="shared" si="6"/>
        <v>77.095937770095063</v>
      </c>
      <c r="I69" s="15"/>
    </row>
    <row r="70" spans="1:15" ht="25.5" customHeight="1">
      <c r="A70" s="254"/>
      <c r="B70" s="315" t="s">
        <v>142</v>
      </c>
      <c r="C70" s="316"/>
      <c r="D70" s="312">
        <v>0.2</v>
      </c>
      <c r="E70" s="83">
        <v>15</v>
      </c>
      <c r="F70" s="83"/>
      <c r="G70" s="227">
        <f t="shared" si="5"/>
        <v>-15</v>
      </c>
      <c r="H70" s="237">
        <f t="shared" si="6"/>
        <v>0</v>
      </c>
    </row>
    <row r="71" spans="1:15" ht="25.5" customHeight="1">
      <c r="A71" s="254"/>
      <c r="B71" s="315" t="s">
        <v>146</v>
      </c>
      <c r="C71" s="316"/>
      <c r="D71" s="312">
        <v>42.1</v>
      </c>
      <c r="E71" s="83">
        <v>80</v>
      </c>
      <c r="F71" s="83">
        <f>36.4+7.8+25</f>
        <v>69.199999999999989</v>
      </c>
      <c r="G71" s="227">
        <f t="shared" si="5"/>
        <v>-10.800000000000011</v>
      </c>
      <c r="H71" s="237">
        <f t="shared" si="6"/>
        <v>86.499999999999986</v>
      </c>
    </row>
    <row r="72" spans="1:15" ht="25.5" customHeight="1">
      <c r="A72" s="254"/>
      <c r="B72" s="315" t="s">
        <v>217</v>
      </c>
      <c r="C72" s="316"/>
      <c r="D72" s="312">
        <v>23.1</v>
      </c>
      <c r="E72" s="83"/>
      <c r="F72" s="83">
        <f>28.8+10.5</f>
        <v>39.299999999999997</v>
      </c>
      <c r="G72" s="227">
        <f t="shared" si="5"/>
        <v>39.299999999999997</v>
      </c>
      <c r="H72" s="269" t="e">
        <f t="shared" si="6"/>
        <v>#DIV/0!</v>
      </c>
    </row>
    <row r="73" spans="1:15" ht="25.5" customHeight="1">
      <c r="A73" s="254"/>
      <c r="B73" s="315" t="s">
        <v>156</v>
      </c>
      <c r="C73" s="316"/>
      <c r="D73" s="312">
        <v>0.8</v>
      </c>
      <c r="E73" s="83">
        <v>4</v>
      </c>
      <c r="F73" s="83"/>
      <c r="G73" s="227">
        <f t="shared" si="5"/>
        <v>-4</v>
      </c>
      <c r="H73" s="237">
        <f t="shared" si="6"/>
        <v>0</v>
      </c>
    </row>
    <row r="74" spans="1:15" ht="25.5" customHeight="1">
      <c r="A74" s="254"/>
      <c r="B74" s="315" t="s">
        <v>157</v>
      </c>
      <c r="C74" s="316"/>
      <c r="D74" s="312">
        <v>35.299999999999997</v>
      </c>
      <c r="E74" s="83">
        <v>80</v>
      </c>
      <c r="F74" s="83">
        <f>90+34.9-100</f>
        <v>24.900000000000006</v>
      </c>
      <c r="G74" s="227">
        <f t="shared" si="5"/>
        <v>-55.099999999999994</v>
      </c>
      <c r="H74" s="237">
        <f t="shared" si="6"/>
        <v>31.125000000000007</v>
      </c>
    </row>
    <row r="75" spans="1:15" ht="25.5" customHeight="1">
      <c r="A75" s="254"/>
      <c r="B75" s="315" t="s">
        <v>148</v>
      </c>
      <c r="C75" s="316"/>
      <c r="D75" s="312">
        <v>34</v>
      </c>
      <c r="E75" s="83">
        <v>44</v>
      </c>
      <c r="F75" s="83">
        <f>56.2+33.7+25-95</f>
        <v>19.900000000000006</v>
      </c>
      <c r="G75" s="227">
        <f t="shared" si="5"/>
        <v>-24.099999999999994</v>
      </c>
      <c r="H75" s="237">
        <f t="shared" si="6"/>
        <v>45.227272727272741</v>
      </c>
    </row>
    <row r="76" spans="1:15" ht="25.5" customHeight="1">
      <c r="A76" s="254"/>
      <c r="B76" s="315" t="s">
        <v>158</v>
      </c>
      <c r="C76" s="316"/>
      <c r="D76" s="312">
        <v>16.899999999999999</v>
      </c>
      <c r="E76" s="83">
        <v>24</v>
      </c>
      <c r="F76" s="83">
        <f>2.7+16.2+18</f>
        <v>36.9</v>
      </c>
      <c r="G76" s="227">
        <f t="shared" ref="G76:G139" si="33">F76-E76</f>
        <v>12.899999999999999</v>
      </c>
      <c r="H76" s="237">
        <f t="shared" ref="H76:H139" si="34">(F76/E76)*100</f>
        <v>153.75</v>
      </c>
    </row>
    <row r="77" spans="1:15" ht="25.5" customHeight="1">
      <c r="A77" s="254"/>
      <c r="B77" s="315" t="s">
        <v>201</v>
      </c>
      <c r="C77" s="316"/>
      <c r="D77" s="312">
        <v>5.8</v>
      </c>
      <c r="E77" s="83">
        <v>50</v>
      </c>
      <c r="F77" s="83">
        <f>5.7+29.4</f>
        <v>35.1</v>
      </c>
      <c r="G77" s="227">
        <f t="shared" si="33"/>
        <v>-14.899999999999999</v>
      </c>
      <c r="H77" s="237">
        <f t="shared" si="34"/>
        <v>70.2</v>
      </c>
    </row>
    <row r="78" spans="1:15" ht="25.5" customHeight="1">
      <c r="A78" s="254"/>
      <c r="B78" s="321" t="s">
        <v>218</v>
      </c>
      <c r="C78" s="316"/>
      <c r="D78" s="312">
        <v>97.7</v>
      </c>
      <c r="E78" s="83">
        <v>200</v>
      </c>
      <c r="F78" s="83"/>
      <c r="G78" s="227">
        <f t="shared" si="33"/>
        <v>-200</v>
      </c>
      <c r="H78" s="237">
        <f t="shared" si="34"/>
        <v>0</v>
      </c>
    </row>
    <row r="79" spans="1:15" ht="25.5" customHeight="1">
      <c r="A79" s="254"/>
      <c r="B79" s="321" t="s">
        <v>269</v>
      </c>
      <c r="C79" s="316"/>
      <c r="D79" s="312"/>
      <c r="E79" s="83">
        <v>10</v>
      </c>
      <c r="F79" s="83">
        <f>5.4</f>
        <v>5.4</v>
      </c>
      <c r="G79" s="227">
        <f t="shared" si="33"/>
        <v>-4.5999999999999996</v>
      </c>
      <c r="H79" s="237">
        <f t="shared" si="34"/>
        <v>54</v>
      </c>
      <c r="N79" s="185"/>
      <c r="O79" s="185"/>
    </row>
    <row r="80" spans="1:15" ht="25.5" customHeight="1">
      <c r="A80" s="254"/>
      <c r="B80" s="321" t="s">
        <v>397</v>
      </c>
      <c r="C80" s="316"/>
      <c r="D80" s="312"/>
      <c r="E80" s="83">
        <v>1.5</v>
      </c>
      <c r="F80" s="83">
        <f>5.7</f>
        <v>5.7</v>
      </c>
      <c r="G80" s="227">
        <f t="shared" si="33"/>
        <v>4.2</v>
      </c>
      <c r="H80" s="237">
        <f t="shared" si="34"/>
        <v>380</v>
      </c>
      <c r="N80" s="185"/>
      <c r="O80" s="185"/>
    </row>
    <row r="81" spans="1:15" ht="27.75" customHeight="1">
      <c r="A81" s="254"/>
      <c r="B81" s="317" t="s">
        <v>220</v>
      </c>
      <c r="C81" s="316"/>
      <c r="D81" s="312">
        <v>1.5</v>
      </c>
      <c r="E81" s="83"/>
      <c r="F81" s="83"/>
      <c r="G81" s="227">
        <f t="shared" si="33"/>
        <v>0</v>
      </c>
      <c r="H81" s="269" t="e">
        <f t="shared" si="34"/>
        <v>#DIV/0!</v>
      </c>
    </row>
    <row r="82" spans="1:15" ht="27.75" customHeight="1">
      <c r="A82" s="254"/>
      <c r="B82" s="317" t="s">
        <v>268</v>
      </c>
      <c r="C82" s="316"/>
      <c r="D82" s="312">
        <v>13.6</v>
      </c>
      <c r="E82" s="83"/>
      <c r="F82" s="83"/>
      <c r="G82" s="227">
        <f t="shared" si="33"/>
        <v>0</v>
      </c>
      <c r="H82" s="269" t="e">
        <f t="shared" si="34"/>
        <v>#DIV/0!</v>
      </c>
      <c r="N82" s="162"/>
      <c r="O82" s="162"/>
    </row>
    <row r="83" spans="1:15" ht="27.75" customHeight="1">
      <c r="A83" s="254"/>
      <c r="B83" s="317" t="s">
        <v>203</v>
      </c>
      <c r="C83" s="316"/>
      <c r="D83" s="312">
        <v>5.8</v>
      </c>
      <c r="E83" s="83">
        <v>8</v>
      </c>
      <c r="F83" s="83">
        <f>2.9+0.9</f>
        <v>3.8</v>
      </c>
      <c r="G83" s="227">
        <f t="shared" si="33"/>
        <v>-4.2</v>
      </c>
      <c r="H83" s="237">
        <f t="shared" si="34"/>
        <v>47.5</v>
      </c>
    </row>
    <row r="84" spans="1:15" ht="27.75" customHeight="1">
      <c r="A84" s="254"/>
      <c r="B84" s="324" t="s">
        <v>162</v>
      </c>
      <c r="C84" s="316"/>
      <c r="D84" s="312">
        <v>30.2</v>
      </c>
      <c r="E84" s="83">
        <v>14</v>
      </c>
      <c r="F84" s="83">
        <v>57.8</v>
      </c>
      <c r="G84" s="227">
        <f t="shared" si="33"/>
        <v>43.8</v>
      </c>
      <c r="H84" s="237">
        <f t="shared" si="34"/>
        <v>412.85714285714283</v>
      </c>
      <c r="N84" s="185"/>
      <c r="O84" s="185"/>
    </row>
    <row r="85" spans="1:15" ht="27.75" customHeight="1">
      <c r="A85" s="254"/>
      <c r="B85" s="325" t="s">
        <v>163</v>
      </c>
      <c r="C85" s="316"/>
      <c r="D85" s="312">
        <v>41.6</v>
      </c>
      <c r="E85" s="83">
        <v>13</v>
      </c>
      <c r="F85" s="83">
        <v>5.7</v>
      </c>
      <c r="G85" s="227">
        <f t="shared" si="33"/>
        <v>-7.3</v>
      </c>
      <c r="H85" s="237">
        <f t="shared" si="34"/>
        <v>43.846153846153847</v>
      </c>
    </row>
    <row r="86" spans="1:15" ht="27.75" customHeight="1">
      <c r="A86" s="254"/>
      <c r="B86" s="323" t="s">
        <v>164</v>
      </c>
      <c r="C86" s="316"/>
      <c r="D86" s="312">
        <v>44.6</v>
      </c>
      <c r="E86" s="83">
        <v>20</v>
      </c>
      <c r="F86" s="83">
        <f>30.8</f>
        <v>30.8</v>
      </c>
      <c r="G86" s="227">
        <f t="shared" si="33"/>
        <v>10.8</v>
      </c>
      <c r="H86" s="237">
        <f t="shared" si="34"/>
        <v>154</v>
      </c>
    </row>
    <row r="87" spans="1:15" ht="27.75" customHeight="1">
      <c r="A87" s="254"/>
      <c r="B87" s="310" t="s">
        <v>165</v>
      </c>
      <c r="C87" s="316"/>
      <c r="D87" s="312"/>
      <c r="E87" s="83"/>
      <c r="F87" s="83">
        <f>0.4</f>
        <v>0.4</v>
      </c>
      <c r="G87" s="227">
        <f t="shared" si="33"/>
        <v>0.4</v>
      </c>
      <c r="H87" s="269" t="e">
        <f t="shared" si="34"/>
        <v>#DIV/0!</v>
      </c>
      <c r="N87" s="187"/>
      <c r="O87" s="187"/>
    </row>
    <row r="88" spans="1:15" ht="27.75" customHeight="1">
      <c r="A88" s="254"/>
      <c r="B88" s="326" t="s">
        <v>160</v>
      </c>
      <c r="C88" s="316"/>
      <c r="D88" s="312">
        <v>3.6</v>
      </c>
      <c r="E88" s="83"/>
      <c r="F88" s="83">
        <v>9</v>
      </c>
      <c r="G88" s="227">
        <f t="shared" si="33"/>
        <v>9</v>
      </c>
      <c r="H88" s="269" t="e">
        <f t="shared" si="34"/>
        <v>#DIV/0!</v>
      </c>
      <c r="N88" s="197"/>
      <c r="O88" s="197"/>
    </row>
    <row r="89" spans="1:15" ht="27.75" customHeight="1">
      <c r="A89" s="254"/>
      <c r="B89" s="326" t="s">
        <v>455</v>
      </c>
      <c r="C89" s="316"/>
      <c r="D89" s="312"/>
      <c r="E89" s="83"/>
      <c r="F89" s="83">
        <f>5.6+50</f>
        <v>55.6</v>
      </c>
      <c r="G89" s="227">
        <f t="shared" si="33"/>
        <v>55.6</v>
      </c>
      <c r="H89" s="269" t="e">
        <f t="shared" si="34"/>
        <v>#DIV/0!</v>
      </c>
      <c r="N89" s="187"/>
      <c r="O89" s="187"/>
    </row>
    <row r="90" spans="1:15" ht="27.75" customHeight="1">
      <c r="A90" s="254"/>
      <c r="B90" s="325" t="s">
        <v>202</v>
      </c>
      <c r="C90" s="327"/>
      <c r="D90" s="312">
        <v>2</v>
      </c>
      <c r="E90" s="196">
        <v>15</v>
      </c>
      <c r="F90" s="196">
        <f>12.7+2.1+1.1</f>
        <v>15.899999999999999</v>
      </c>
      <c r="G90" s="227">
        <f t="shared" si="33"/>
        <v>0.89999999999999858</v>
      </c>
      <c r="H90" s="237">
        <f t="shared" si="34"/>
        <v>105.99999999999999</v>
      </c>
      <c r="N90" s="180"/>
      <c r="O90" s="180"/>
    </row>
    <row r="91" spans="1:15" ht="27.75" customHeight="1">
      <c r="A91" s="254"/>
      <c r="B91" s="261" t="s">
        <v>243</v>
      </c>
      <c r="C91" s="242"/>
      <c r="D91" s="83">
        <v>22.9</v>
      </c>
      <c r="E91" s="83"/>
      <c r="F91" s="83">
        <f>15.3+15.3</f>
        <v>30.6</v>
      </c>
      <c r="G91" s="227">
        <f t="shared" si="33"/>
        <v>30.6</v>
      </c>
      <c r="H91" s="269" t="e">
        <f t="shared" si="34"/>
        <v>#DIV/0!</v>
      </c>
    </row>
    <row r="92" spans="1:15" ht="27.75" customHeight="1">
      <c r="A92" s="254" t="s">
        <v>339</v>
      </c>
      <c r="B92" s="262" t="s">
        <v>91</v>
      </c>
      <c r="C92" s="263">
        <v>1020</v>
      </c>
      <c r="D92" s="117">
        <f>D93+D97</f>
        <v>233.1</v>
      </c>
      <c r="E92" s="117">
        <f>E93+E97</f>
        <v>251.4</v>
      </c>
      <c r="F92" s="117">
        <f>F93+F97</f>
        <v>105.60000000000001</v>
      </c>
      <c r="G92" s="237">
        <f t="shared" si="33"/>
        <v>-145.80000000000001</v>
      </c>
      <c r="H92" s="237">
        <f t="shared" si="34"/>
        <v>42.004773269689736</v>
      </c>
    </row>
    <row r="93" spans="1:15" ht="27.75" customHeight="1">
      <c r="A93" s="234" t="s">
        <v>340</v>
      </c>
      <c r="B93" s="264" t="s">
        <v>104</v>
      </c>
      <c r="C93" s="236">
        <v>1021</v>
      </c>
      <c r="D93" s="117">
        <f>SUM(D94:D96)</f>
        <v>41.6</v>
      </c>
      <c r="E93" s="117">
        <f>SUM(E94:E96)</f>
        <v>0</v>
      </c>
      <c r="F93" s="117">
        <f>SUM(F94:F96)</f>
        <v>0</v>
      </c>
      <c r="G93" s="237">
        <f t="shared" si="33"/>
        <v>0</v>
      </c>
      <c r="H93" s="269" t="e">
        <f t="shared" si="34"/>
        <v>#DIV/0!</v>
      </c>
    </row>
    <row r="94" spans="1:15" ht="27.75" customHeight="1">
      <c r="A94" s="234"/>
      <c r="B94" s="357" t="s">
        <v>155</v>
      </c>
      <c r="C94" s="358"/>
      <c r="D94" s="353">
        <v>32</v>
      </c>
      <c r="E94" s="117"/>
      <c r="F94" s="83"/>
      <c r="G94" s="237">
        <f t="shared" si="33"/>
        <v>0</v>
      </c>
      <c r="H94" s="269" t="e">
        <f t="shared" si="34"/>
        <v>#DIV/0!</v>
      </c>
      <c r="N94" s="162"/>
      <c r="O94" s="162"/>
    </row>
    <row r="95" spans="1:15" ht="27.75" customHeight="1">
      <c r="A95" s="234"/>
      <c r="B95" s="357" t="s">
        <v>216</v>
      </c>
      <c r="C95" s="358"/>
      <c r="D95" s="353">
        <v>1.9</v>
      </c>
      <c r="E95" s="117"/>
      <c r="F95" s="83"/>
      <c r="G95" s="237">
        <f t="shared" si="33"/>
        <v>0</v>
      </c>
      <c r="H95" s="269" t="e">
        <f t="shared" si="34"/>
        <v>#DIV/0!</v>
      </c>
      <c r="N95" s="180"/>
      <c r="O95" s="180"/>
    </row>
    <row r="96" spans="1:15" ht="40.5" customHeight="1">
      <c r="A96" s="234"/>
      <c r="B96" s="351" t="s">
        <v>154</v>
      </c>
      <c r="C96" s="354"/>
      <c r="D96" s="353">
        <v>7.7</v>
      </c>
      <c r="E96" s="83"/>
      <c r="F96" s="83"/>
      <c r="G96" s="237">
        <f t="shared" si="33"/>
        <v>0</v>
      </c>
      <c r="H96" s="269" t="e">
        <f t="shared" si="34"/>
        <v>#DIV/0!</v>
      </c>
    </row>
    <row r="97" spans="1:15" ht="27.75" customHeight="1">
      <c r="A97" s="234" t="s">
        <v>341</v>
      </c>
      <c r="B97" s="260" t="s">
        <v>167</v>
      </c>
      <c r="C97" s="236">
        <v>1025</v>
      </c>
      <c r="D97" s="117">
        <f>SUM(D98:D108)</f>
        <v>191.5</v>
      </c>
      <c r="E97" s="117">
        <f>SUM(E98:E108)</f>
        <v>251.4</v>
      </c>
      <c r="F97" s="117">
        <f>SUM(F98:F108)</f>
        <v>105.60000000000001</v>
      </c>
      <c r="G97" s="237">
        <f t="shared" si="33"/>
        <v>-145.80000000000001</v>
      </c>
      <c r="H97" s="237">
        <f t="shared" si="34"/>
        <v>42.004773269689736</v>
      </c>
    </row>
    <row r="98" spans="1:15" ht="27.75" customHeight="1">
      <c r="A98" s="254"/>
      <c r="B98" s="368" t="s">
        <v>149</v>
      </c>
      <c r="C98" s="369"/>
      <c r="D98" s="364">
        <v>105.2</v>
      </c>
      <c r="E98" s="83">
        <v>180</v>
      </c>
      <c r="F98" s="83">
        <f>78+37.3-105.4</f>
        <v>9.8999999999999915</v>
      </c>
      <c r="G98" s="227">
        <f t="shared" si="33"/>
        <v>-170.10000000000002</v>
      </c>
      <c r="H98" s="227">
        <f t="shared" si="34"/>
        <v>5.4999999999999956</v>
      </c>
    </row>
    <row r="99" spans="1:15" ht="27.75" customHeight="1">
      <c r="A99" s="254"/>
      <c r="B99" s="368" t="s">
        <v>142</v>
      </c>
      <c r="C99" s="369"/>
      <c r="D99" s="364">
        <v>4.2</v>
      </c>
      <c r="E99" s="83">
        <v>3</v>
      </c>
      <c r="F99" s="83"/>
      <c r="G99" s="227">
        <f t="shared" si="33"/>
        <v>-3</v>
      </c>
      <c r="H99" s="227">
        <f t="shared" si="34"/>
        <v>0</v>
      </c>
      <c r="N99" s="180"/>
      <c r="O99" s="180"/>
    </row>
    <row r="100" spans="1:15" ht="27.75" customHeight="1">
      <c r="A100" s="254"/>
      <c r="B100" s="365" t="s">
        <v>158</v>
      </c>
      <c r="C100" s="369"/>
      <c r="D100" s="364">
        <v>7</v>
      </c>
      <c r="E100" s="83">
        <v>32</v>
      </c>
      <c r="F100" s="83">
        <f>41.6+15</f>
        <v>56.6</v>
      </c>
      <c r="G100" s="227">
        <f t="shared" si="33"/>
        <v>24.6</v>
      </c>
      <c r="H100" s="227">
        <f t="shared" si="34"/>
        <v>176.875</v>
      </c>
    </row>
    <row r="101" spans="1:15" ht="27.75" customHeight="1">
      <c r="A101" s="254"/>
      <c r="B101" s="365" t="s">
        <v>153</v>
      </c>
      <c r="C101" s="369"/>
      <c r="D101" s="364">
        <v>33.1</v>
      </c>
      <c r="E101" s="83">
        <v>6</v>
      </c>
      <c r="F101" s="83">
        <f>9.8</f>
        <v>9.8000000000000007</v>
      </c>
      <c r="G101" s="227">
        <f t="shared" si="33"/>
        <v>3.8000000000000007</v>
      </c>
      <c r="H101" s="227">
        <f t="shared" si="34"/>
        <v>163.33333333333334</v>
      </c>
    </row>
    <row r="102" spans="1:15" ht="27.75" customHeight="1">
      <c r="A102" s="254"/>
      <c r="B102" s="365" t="s">
        <v>163</v>
      </c>
      <c r="C102" s="369"/>
      <c r="D102" s="364">
        <v>0.2</v>
      </c>
      <c r="E102" s="83"/>
      <c r="F102" s="83"/>
      <c r="G102" s="227">
        <f t="shared" si="33"/>
        <v>0</v>
      </c>
      <c r="H102" s="270" t="e">
        <f t="shared" si="34"/>
        <v>#DIV/0!</v>
      </c>
      <c r="N102" s="197"/>
      <c r="O102" s="197"/>
    </row>
    <row r="103" spans="1:15" ht="27.75" customHeight="1">
      <c r="A103" s="254"/>
      <c r="B103" s="365" t="s">
        <v>173</v>
      </c>
      <c r="C103" s="369"/>
      <c r="D103" s="364">
        <v>12.8</v>
      </c>
      <c r="E103" s="83"/>
      <c r="F103" s="83">
        <f>6.3</f>
        <v>6.3</v>
      </c>
      <c r="G103" s="227">
        <f t="shared" si="33"/>
        <v>6.3</v>
      </c>
      <c r="H103" s="270" t="e">
        <f t="shared" si="34"/>
        <v>#DIV/0!</v>
      </c>
      <c r="N103" s="162"/>
      <c r="O103" s="162"/>
    </row>
    <row r="104" spans="1:15" ht="27.75" customHeight="1">
      <c r="A104" s="254"/>
      <c r="B104" s="362" t="s">
        <v>160</v>
      </c>
      <c r="C104" s="369"/>
      <c r="D104" s="364">
        <v>16</v>
      </c>
      <c r="E104" s="83">
        <v>28</v>
      </c>
      <c r="F104" s="83">
        <f>25.5+16.7-35</f>
        <v>7.2000000000000028</v>
      </c>
      <c r="G104" s="227">
        <f t="shared" si="33"/>
        <v>-20.799999999999997</v>
      </c>
      <c r="H104" s="227">
        <f t="shared" si="34"/>
        <v>25.714285714285722</v>
      </c>
    </row>
    <row r="105" spans="1:15" ht="27.75" customHeight="1">
      <c r="A105" s="254"/>
      <c r="B105" s="365" t="s">
        <v>221</v>
      </c>
      <c r="C105" s="369"/>
      <c r="D105" s="364">
        <v>10</v>
      </c>
      <c r="E105" s="83"/>
      <c r="F105" s="83">
        <f>92.6+8.5+0.9+14.9-110</f>
        <v>6.9000000000000057</v>
      </c>
      <c r="G105" s="227">
        <f t="shared" si="33"/>
        <v>6.9000000000000057</v>
      </c>
      <c r="H105" s="270" t="e">
        <f t="shared" si="34"/>
        <v>#DIV/0!</v>
      </c>
    </row>
    <row r="106" spans="1:15" ht="27.75" customHeight="1">
      <c r="A106" s="254"/>
      <c r="B106" s="365" t="s">
        <v>251</v>
      </c>
      <c r="C106" s="369"/>
      <c r="D106" s="364"/>
      <c r="E106" s="83"/>
      <c r="F106" s="83">
        <v>0.9</v>
      </c>
      <c r="G106" s="227">
        <f t="shared" si="33"/>
        <v>0.9</v>
      </c>
      <c r="H106" s="270" t="e">
        <f t="shared" si="34"/>
        <v>#DIV/0!</v>
      </c>
    </row>
    <row r="107" spans="1:15" ht="27.75" customHeight="1">
      <c r="A107" s="254"/>
      <c r="B107" s="365" t="s">
        <v>240</v>
      </c>
      <c r="C107" s="369"/>
      <c r="D107" s="364"/>
      <c r="E107" s="83"/>
      <c r="F107" s="83">
        <f>3.6</f>
        <v>3.6</v>
      </c>
      <c r="G107" s="227">
        <f t="shared" si="33"/>
        <v>3.6</v>
      </c>
      <c r="H107" s="270" t="e">
        <f t="shared" si="34"/>
        <v>#DIV/0!</v>
      </c>
    </row>
    <row r="108" spans="1:15" ht="27.75" customHeight="1">
      <c r="A108" s="254"/>
      <c r="B108" s="365" t="s">
        <v>219</v>
      </c>
      <c r="C108" s="369"/>
      <c r="D108" s="364">
        <v>3</v>
      </c>
      <c r="E108" s="83">
        <v>2.4</v>
      </c>
      <c r="F108" s="83">
        <v>4.4000000000000004</v>
      </c>
      <c r="G108" s="227">
        <f t="shared" si="33"/>
        <v>2.0000000000000004</v>
      </c>
      <c r="H108" s="227">
        <f t="shared" si="34"/>
        <v>183.33333333333334</v>
      </c>
    </row>
    <row r="109" spans="1:15" ht="27.75" customHeight="1">
      <c r="A109" s="254" t="s">
        <v>342</v>
      </c>
      <c r="B109" s="265" t="s">
        <v>92</v>
      </c>
      <c r="C109" s="263">
        <v>1030</v>
      </c>
      <c r="D109" s="117">
        <f>D110</f>
        <v>14</v>
      </c>
      <c r="E109" s="117">
        <f>E110</f>
        <v>155</v>
      </c>
      <c r="F109" s="117">
        <f>F110</f>
        <v>49.1</v>
      </c>
      <c r="G109" s="237">
        <f t="shared" si="33"/>
        <v>-105.9</v>
      </c>
      <c r="H109" s="237">
        <f t="shared" si="34"/>
        <v>31.677419354838708</v>
      </c>
    </row>
    <row r="110" spans="1:15" ht="27.75" customHeight="1">
      <c r="A110" s="234" t="s">
        <v>343</v>
      </c>
      <c r="B110" s="266" t="s">
        <v>92</v>
      </c>
      <c r="C110" s="242">
        <v>1035</v>
      </c>
      <c r="D110" s="117">
        <f>SUM(D111:D114)</f>
        <v>14</v>
      </c>
      <c r="E110" s="117">
        <f>SUM(E111:E114)</f>
        <v>155</v>
      </c>
      <c r="F110" s="117">
        <f>SUM(F111:F114)</f>
        <v>49.1</v>
      </c>
      <c r="G110" s="237">
        <f t="shared" si="33"/>
        <v>-105.9</v>
      </c>
      <c r="H110" s="237">
        <f t="shared" si="34"/>
        <v>31.677419354838708</v>
      </c>
    </row>
    <row r="111" spans="1:15" ht="27.75" customHeight="1">
      <c r="A111" s="245"/>
      <c r="B111" s="376" t="s">
        <v>233</v>
      </c>
      <c r="C111" s="377"/>
      <c r="D111" s="374">
        <v>1.9</v>
      </c>
      <c r="E111" s="83">
        <v>0.6</v>
      </c>
      <c r="F111" s="83">
        <f>1.1+1</f>
        <v>2.1</v>
      </c>
      <c r="G111" s="227">
        <f t="shared" si="33"/>
        <v>1.5</v>
      </c>
      <c r="H111" s="227">
        <f t="shared" si="34"/>
        <v>350.00000000000006</v>
      </c>
      <c r="K111" s="1"/>
    </row>
    <row r="112" spans="1:15" ht="27.75" customHeight="1">
      <c r="A112" s="245"/>
      <c r="B112" s="376" t="s">
        <v>222</v>
      </c>
      <c r="C112" s="377"/>
      <c r="D112" s="374">
        <v>12.1</v>
      </c>
      <c r="E112" s="83"/>
      <c r="F112" s="83">
        <f>45.9</f>
        <v>45.9</v>
      </c>
      <c r="G112" s="227">
        <f t="shared" si="33"/>
        <v>45.9</v>
      </c>
      <c r="H112" s="270" t="e">
        <f t="shared" si="34"/>
        <v>#DIV/0!</v>
      </c>
      <c r="K112" s="1"/>
      <c r="N112" s="187"/>
      <c r="O112" s="187"/>
    </row>
    <row r="113" spans="1:15" ht="27.75" customHeight="1">
      <c r="A113" s="245"/>
      <c r="B113" s="380" t="s">
        <v>630</v>
      </c>
      <c r="C113" s="377"/>
      <c r="D113" s="374"/>
      <c r="E113" s="278"/>
      <c r="F113" s="278">
        <v>1.1000000000000001</v>
      </c>
      <c r="G113" s="279">
        <f t="shared" si="33"/>
        <v>1.1000000000000001</v>
      </c>
      <c r="H113" s="280" t="e">
        <f t="shared" si="34"/>
        <v>#DIV/0!</v>
      </c>
      <c r="K113" s="1"/>
      <c r="N113" s="198"/>
      <c r="O113" s="198"/>
    </row>
    <row r="114" spans="1:15" ht="27.75" customHeight="1">
      <c r="A114" s="254"/>
      <c r="B114" s="379" t="s">
        <v>170</v>
      </c>
      <c r="C114" s="375"/>
      <c r="D114" s="382"/>
      <c r="E114" s="83">
        <v>154.4</v>
      </c>
      <c r="F114" s="83"/>
      <c r="G114" s="237">
        <f t="shared" si="33"/>
        <v>-154.4</v>
      </c>
      <c r="H114" s="237">
        <f t="shared" si="34"/>
        <v>0</v>
      </c>
    </row>
    <row r="115" spans="1:15" s="105" customFormat="1" ht="27.75" customHeight="1">
      <c r="A115" s="101" t="s">
        <v>103</v>
      </c>
      <c r="B115" s="102" t="s">
        <v>344</v>
      </c>
      <c r="C115" s="107"/>
      <c r="D115" s="94">
        <f t="shared" ref="D115:E115" si="35">D117+D123</f>
        <v>190.4</v>
      </c>
      <c r="E115" s="94">
        <f t="shared" si="35"/>
        <v>0</v>
      </c>
      <c r="F115" s="94">
        <f>F117+F123</f>
        <v>947.1</v>
      </c>
      <c r="G115" s="183">
        <f t="shared" si="33"/>
        <v>947.1</v>
      </c>
      <c r="H115" s="271" t="e">
        <f t="shared" si="34"/>
        <v>#DIV/0!</v>
      </c>
      <c r="J115" s="104"/>
      <c r="N115" s="184"/>
      <c r="O115" s="184"/>
    </row>
    <row r="116" spans="1:15" ht="27.75" customHeight="1">
      <c r="A116" s="39"/>
      <c r="B116" s="288" t="s">
        <v>85</v>
      </c>
      <c r="C116" s="240"/>
      <c r="D116" s="83"/>
      <c r="E116" s="83"/>
      <c r="F116" s="83"/>
      <c r="G116" s="237"/>
      <c r="H116" s="269"/>
      <c r="N116" s="179"/>
      <c r="O116" s="179"/>
    </row>
    <row r="117" spans="1:15" s="4" customFormat="1" ht="27.75" customHeight="1">
      <c r="A117" s="39" t="s">
        <v>215</v>
      </c>
      <c r="B117" s="257" t="s">
        <v>89</v>
      </c>
      <c r="C117" s="258">
        <v>1010</v>
      </c>
      <c r="D117" s="167">
        <f t="shared" ref="D117:E117" si="36">D118+D120</f>
        <v>190.4</v>
      </c>
      <c r="E117" s="167">
        <f t="shared" si="36"/>
        <v>0</v>
      </c>
      <c r="F117" s="167">
        <f>F118+F120</f>
        <v>493.3</v>
      </c>
      <c r="G117" s="237">
        <f t="shared" si="33"/>
        <v>493.3</v>
      </c>
      <c r="H117" s="269" t="e">
        <f t="shared" si="34"/>
        <v>#DIV/0!</v>
      </c>
      <c r="J117" s="72"/>
      <c r="N117" s="65"/>
      <c r="O117" s="65"/>
    </row>
    <row r="118" spans="1:15" s="69" customFormat="1" ht="27.75" customHeight="1">
      <c r="A118" s="31" t="s">
        <v>253</v>
      </c>
      <c r="B118" s="235" t="s">
        <v>104</v>
      </c>
      <c r="C118" s="242">
        <v>1011</v>
      </c>
      <c r="D118" s="117">
        <f t="shared" ref="D118:E118" si="37">D119</f>
        <v>190.4</v>
      </c>
      <c r="E118" s="117">
        <f t="shared" si="37"/>
        <v>0</v>
      </c>
      <c r="F118" s="117">
        <f>F119</f>
        <v>306.3</v>
      </c>
      <c r="G118" s="237">
        <f t="shared" si="33"/>
        <v>306.3</v>
      </c>
      <c r="H118" s="269" t="e">
        <f t="shared" si="34"/>
        <v>#DIV/0!</v>
      </c>
      <c r="J118" s="73"/>
      <c r="N118" s="71"/>
      <c r="O118" s="71"/>
    </row>
    <row r="119" spans="1:15" ht="47.25" customHeight="1">
      <c r="A119" s="37"/>
      <c r="B119" s="299" t="s">
        <v>154</v>
      </c>
      <c r="C119" s="307"/>
      <c r="D119" s="301">
        <v>190.4</v>
      </c>
      <c r="E119" s="83"/>
      <c r="F119" s="83">
        <f>115+113+180-101.7</f>
        <v>306.3</v>
      </c>
      <c r="G119" s="227">
        <f t="shared" si="33"/>
        <v>306.3</v>
      </c>
      <c r="H119" s="270" t="e">
        <f t="shared" si="34"/>
        <v>#DIV/0!</v>
      </c>
      <c r="K119" s="1"/>
      <c r="N119" s="197"/>
      <c r="O119" s="197"/>
    </row>
    <row r="120" spans="1:15" s="69" customFormat="1" ht="30" customHeight="1">
      <c r="A120" s="31" t="s">
        <v>636</v>
      </c>
      <c r="B120" s="260" t="s">
        <v>96</v>
      </c>
      <c r="C120" s="242">
        <v>1015</v>
      </c>
      <c r="D120" s="117"/>
      <c r="E120" s="117"/>
      <c r="F120" s="117">
        <f>F121+F122</f>
        <v>187</v>
      </c>
      <c r="G120" s="237">
        <f t="shared" si="33"/>
        <v>187</v>
      </c>
      <c r="H120" s="269" t="e">
        <f t="shared" si="34"/>
        <v>#DIV/0!</v>
      </c>
      <c r="J120" s="73"/>
      <c r="N120" s="71"/>
      <c r="O120" s="71"/>
    </row>
    <row r="121" spans="1:15" ht="26.25" customHeight="1">
      <c r="A121" s="37"/>
      <c r="B121" s="317" t="s">
        <v>148</v>
      </c>
      <c r="C121" s="316"/>
      <c r="D121" s="312"/>
      <c r="E121" s="83"/>
      <c r="F121" s="83">
        <f>53.9+95</f>
        <v>148.9</v>
      </c>
      <c r="G121" s="227">
        <f t="shared" si="33"/>
        <v>148.9</v>
      </c>
      <c r="H121" s="270" t="e">
        <f t="shared" si="34"/>
        <v>#DIV/0!</v>
      </c>
      <c r="K121" s="1"/>
      <c r="N121" s="198"/>
      <c r="O121" s="198"/>
    </row>
    <row r="122" spans="1:15" ht="24.75" customHeight="1">
      <c r="A122" s="37"/>
      <c r="B122" s="317" t="s">
        <v>157</v>
      </c>
      <c r="C122" s="316"/>
      <c r="D122" s="312"/>
      <c r="E122" s="83"/>
      <c r="F122" s="83">
        <f>6.1+100-8-60</f>
        <v>38.099999999999994</v>
      </c>
      <c r="G122" s="227">
        <f t="shared" si="33"/>
        <v>38.099999999999994</v>
      </c>
      <c r="H122" s="270" t="e">
        <f t="shared" si="34"/>
        <v>#DIV/0!</v>
      </c>
      <c r="K122" s="1"/>
      <c r="N122" s="198"/>
      <c r="O122" s="198"/>
    </row>
    <row r="123" spans="1:15" s="4" customFormat="1" ht="30.75" customHeight="1">
      <c r="A123" s="39" t="s">
        <v>637</v>
      </c>
      <c r="B123" s="262" t="s">
        <v>91</v>
      </c>
      <c r="C123" s="263">
        <v>1020</v>
      </c>
      <c r="D123" s="167"/>
      <c r="E123" s="167"/>
      <c r="F123" s="167">
        <f>F124</f>
        <v>453.8</v>
      </c>
      <c r="G123" s="191">
        <f t="shared" si="33"/>
        <v>453.8</v>
      </c>
      <c r="H123" s="272" t="e">
        <f t="shared" si="34"/>
        <v>#DIV/0!</v>
      </c>
      <c r="J123" s="72"/>
      <c r="N123" s="65"/>
      <c r="O123" s="65"/>
    </row>
    <row r="124" spans="1:15" s="69" customFormat="1" ht="31.5" customHeight="1">
      <c r="A124" s="31" t="s">
        <v>638</v>
      </c>
      <c r="B124" s="260" t="s">
        <v>167</v>
      </c>
      <c r="C124" s="236">
        <v>1025</v>
      </c>
      <c r="D124" s="117"/>
      <c r="E124" s="117"/>
      <c r="F124" s="117">
        <f>SUM(F125:F128)</f>
        <v>453.8</v>
      </c>
      <c r="G124" s="237">
        <f t="shared" si="33"/>
        <v>453.8</v>
      </c>
      <c r="H124" s="269" t="e">
        <f t="shared" si="34"/>
        <v>#DIV/0!</v>
      </c>
      <c r="J124" s="73"/>
      <c r="N124" s="71"/>
      <c r="O124" s="71"/>
    </row>
    <row r="125" spans="1:15" ht="28.5" customHeight="1">
      <c r="A125" s="37"/>
      <c r="B125" s="362" t="s">
        <v>149</v>
      </c>
      <c r="C125" s="367"/>
      <c r="D125" s="364"/>
      <c r="E125" s="83"/>
      <c r="F125" s="83">
        <f>41.6+105.4</f>
        <v>147</v>
      </c>
      <c r="G125" s="227">
        <f t="shared" si="33"/>
        <v>147</v>
      </c>
      <c r="H125" s="270" t="e">
        <f t="shared" si="34"/>
        <v>#DIV/0!</v>
      </c>
      <c r="K125" s="1"/>
      <c r="N125" s="198"/>
      <c r="O125" s="198"/>
    </row>
    <row r="126" spans="1:15" ht="27" customHeight="1">
      <c r="A126" s="37"/>
      <c r="B126" s="362" t="s">
        <v>153</v>
      </c>
      <c r="C126" s="367"/>
      <c r="D126" s="364"/>
      <c r="E126" s="83"/>
      <c r="F126" s="83">
        <f>29.4</f>
        <v>29.4</v>
      </c>
      <c r="G126" s="227">
        <f t="shared" si="33"/>
        <v>29.4</v>
      </c>
      <c r="H126" s="270" t="e">
        <f t="shared" si="34"/>
        <v>#DIV/0!</v>
      </c>
      <c r="K126" s="1"/>
      <c r="N126" s="198"/>
      <c r="O126" s="198"/>
    </row>
    <row r="127" spans="1:15" ht="25.5" customHeight="1">
      <c r="A127" s="37"/>
      <c r="B127" s="362" t="s">
        <v>365</v>
      </c>
      <c r="C127" s="367"/>
      <c r="D127" s="364"/>
      <c r="E127" s="83"/>
      <c r="F127" s="83">
        <f>74.4+110</f>
        <v>184.4</v>
      </c>
      <c r="G127" s="227">
        <f t="shared" si="33"/>
        <v>184.4</v>
      </c>
      <c r="H127" s="270" t="e">
        <f t="shared" si="34"/>
        <v>#DIV/0!</v>
      </c>
      <c r="K127" s="1"/>
      <c r="N127" s="198"/>
      <c r="O127" s="198"/>
    </row>
    <row r="128" spans="1:15" ht="27.75" customHeight="1">
      <c r="A128" s="37"/>
      <c r="B128" s="362" t="s">
        <v>160</v>
      </c>
      <c r="C128" s="367"/>
      <c r="D128" s="364"/>
      <c r="E128" s="83"/>
      <c r="F128" s="83">
        <f>58+35</f>
        <v>93</v>
      </c>
      <c r="G128" s="227">
        <f t="shared" si="33"/>
        <v>93</v>
      </c>
      <c r="H128" s="270" t="e">
        <f t="shared" si="34"/>
        <v>#DIV/0!</v>
      </c>
      <c r="K128" s="1"/>
      <c r="N128" s="198"/>
      <c r="O128" s="198"/>
    </row>
    <row r="129" spans="1:15" s="100" customFormat="1" ht="32.25" customHeight="1">
      <c r="A129" s="101" t="s">
        <v>345</v>
      </c>
      <c r="B129" s="102" t="s">
        <v>200</v>
      </c>
      <c r="C129" s="107"/>
      <c r="D129" s="94">
        <f>D131+D144</f>
        <v>17072.399999999998</v>
      </c>
      <c r="E129" s="94">
        <f>E131+E144</f>
        <v>17083.699999999997</v>
      </c>
      <c r="F129" s="94">
        <f>F131+F144</f>
        <v>18802.100000000002</v>
      </c>
      <c r="G129" s="95">
        <f t="shared" si="33"/>
        <v>1718.4000000000051</v>
      </c>
      <c r="H129" s="95">
        <f t="shared" si="34"/>
        <v>110.05871093498484</v>
      </c>
      <c r="I129" s="96"/>
      <c r="J129" s="97"/>
      <c r="K129" s="105"/>
      <c r="N129" s="106"/>
      <c r="O129" s="106"/>
    </row>
    <row r="130" spans="1:15" ht="27" customHeight="1">
      <c r="A130" s="39"/>
      <c r="B130" s="48" t="s">
        <v>85</v>
      </c>
      <c r="C130" s="36"/>
      <c r="D130" s="13"/>
      <c r="E130" s="83"/>
      <c r="F130" s="83"/>
      <c r="G130" s="14"/>
      <c r="H130" s="14"/>
      <c r="I130" s="15"/>
      <c r="K130" s="21"/>
    </row>
    <row r="131" spans="1:15" s="4" customFormat="1" ht="24.75" customHeight="1">
      <c r="A131" s="39" t="s">
        <v>346</v>
      </c>
      <c r="B131" s="42" t="s">
        <v>89</v>
      </c>
      <c r="C131" s="46">
        <v>1010</v>
      </c>
      <c r="D131" s="9">
        <f>D132+D136</f>
        <v>16890.099999999999</v>
      </c>
      <c r="E131" s="167">
        <f>E132+E136</f>
        <v>16852.199999999997</v>
      </c>
      <c r="F131" s="167">
        <f>F132+F136</f>
        <v>18445.900000000001</v>
      </c>
      <c r="G131" s="14">
        <f t="shared" si="33"/>
        <v>1593.7000000000044</v>
      </c>
      <c r="H131" s="14">
        <f t="shared" si="34"/>
        <v>109.45692550527531</v>
      </c>
      <c r="I131" s="70"/>
      <c r="J131" s="72"/>
      <c r="N131" s="65"/>
      <c r="O131" s="65"/>
    </row>
    <row r="132" spans="1:15" s="4" customFormat="1" ht="24.75" customHeight="1">
      <c r="A132" s="31" t="s">
        <v>347</v>
      </c>
      <c r="B132" s="43" t="s">
        <v>104</v>
      </c>
      <c r="C132" s="33">
        <v>1011</v>
      </c>
      <c r="D132" s="34">
        <f>SUM(D133:D135)</f>
        <v>6740.2999999999993</v>
      </c>
      <c r="E132" s="117">
        <f>SUM(E133:E135)</f>
        <v>6050</v>
      </c>
      <c r="F132" s="117">
        <f>SUM(F133:F135)</f>
        <v>7620.2000000000007</v>
      </c>
      <c r="G132" s="35">
        <f t="shared" si="33"/>
        <v>1570.2000000000007</v>
      </c>
      <c r="H132" s="35">
        <f t="shared" si="34"/>
        <v>125.95371900826447</v>
      </c>
      <c r="J132" s="72"/>
      <c r="N132" s="65"/>
      <c r="O132" s="65"/>
    </row>
    <row r="133" spans="1:15" ht="24.75" customHeight="1">
      <c r="A133" s="37"/>
      <c r="B133" s="299" t="s">
        <v>171</v>
      </c>
      <c r="C133" s="303"/>
      <c r="D133" s="301">
        <v>5970.2</v>
      </c>
      <c r="E133" s="83">
        <v>5500</v>
      </c>
      <c r="F133" s="83">
        <v>5801.6</v>
      </c>
      <c r="G133" s="10">
        <f t="shared" si="33"/>
        <v>301.60000000000036</v>
      </c>
      <c r="H133" s="10">
        <f t="shared" si="34"/>
        <v>105.48363636363638</v>
      </c>
      <c r="I133" s="40"/>
    </row>
    <row r="134" spans="1:15" ht="24.75" customHeight="1">
      <c r="A134" s="37"/>
      <c r="B134" s="299" t="s">
        <v>216</v>
      </c>
      <c r="C134" s="303"/>
      <c r="D134" s="301">
        <v>95.9</v>
      </c>
      <c r="E134" s="83">
        <v>130</v>
      </c>
      <c r="F134" s="83">
        <v>73</v>
      </c>
      <c r="G134" s="10">
        <f t="shared" si="33"/>
        <v>-57</v>
      </c>
      <c r="H134" s="10">
        <f t="shared" si="34"/>
        <v>56.153846153846153</v>
      </c>
      <c r="I134" s="40"/>
    </row>
    <row r="135" spans="1:15" ht="24.75" customHeight="1">
      <c r="A135" s="37"/>
      <c r="B135" s="299" t="s">
        <v>172</v>
      </c>
      <c r="C135" s="303"/>
      <c r="D135" s="301">
        <v>674.2</v>
      </c>
      <c r="E135" s="83">
        <v>420</v>
      </c>
      <c r="F135" s="83">
        <v>1745.6</v>
      </c>
      <c r="G135" s="10">
        <f t="shared" si="33"/>
        <v>1325.6</v>
      </c>
      <c r="H135" s="10">
        <f t="shared" si="34"/>
        <v>415.61904761904759</v>
      </c>
    </row>
    <row r="136" spans="1:15" s="4" customFormat="1" ht="24.75" customHeight="1">
      <c r="A136" s="31" t="s">
        <v>348</v>
      </c>
      <c r="B136" s="50" t="s">
        <v>96</v>
      </c>
      <c r="C136" s="51">
        <v>1015</v>
      </c>
      <c r="D136" s="34">
        <f>SUM(D137:D143)</f>
        <v>10149.800000000001</v>
      </c>
      <c r="E136" s="117">
        <f>SUM(E137:E143)</f>
        <v>10802.199999999999</v>
      </c>
      <c r="F136" s="117">
        <f>SUM(F137:F143)</f>
        <v>10825.699999999999</v>
      </c>
      <c r="G136" s="35">
        <f t="shared" si="33"/>
        <v>23.5</v>
      </c>
      <c r="H136" s="35">
        <f t="shared" si="34"/>
        <v>100.21754827720279</v>
      </c>
      <c r="J136" s="72"/>
      <c r="N136" s="65"/>
      <c r="O136" s="65"/>
    </row>
    <row r="137" spans="1:15" s="4" customFormat="1" ht="24.75" customHeight="1">
      <c r="A137" s="31"/>
      <c r="B137" s="310" t="s">
        <v>146</v>
      </c>
      <c r="C137" s="319"/>
      <c r="D137" s="320"/>
      <c r="E137" s="83">
        <v>500</v>
      </c>
      <c r="F137" s="83">
        <v>598.4</v>
      </c>
      <c r="G137" s="35">
        <f t="shared" si="33"/>
        <v>98.399999999999977</v>
      </c>
      <c r="H137" s="35">
        <f t="shared" si="34"/>
        <v>119.67999999999999</v>
      </c>
      <c r="J137" s="72"/>
      <c r="N137" s="65"/>
      <c r="O137" s="65"/>
    </row>
    <row r="138" spans="1:15" s="4" customFormat="1" ht="24.75" customHeight="1">
      <c r="A138" s="31"/>
      <c r="B138" s="310" t="s">
        <v>189</v>
      </c>
      <c r="C138" s="319"/>
      <c r="D138" s="312">
        <v>2370</v>
      </c>
      <c r="E138" s="117"/>
      <c r="F138" s="83"/>
      <c r="G138" s="35">
        <f t="shared" si="33"/>
        <v>0</v>
      </c>
      <c r="H138" s="273" t="e">
        <f t="shared" si="34"/>
        <v>#DIV/0!</v>
      </c>
      <c r="J138" s="72"/>
      <c r="N138" s="65"/>
      <c r="O138" s="65"/>
    </row>
    <row r="139" spans="1:15" ht="24.75" customHeight="1">
      <c r="A139" s="39"/>
      <c r="B139" s="310" t="s">
        <v>162</v>
      </c>
      <c r="C139" s="310"/>
      <c r="D139" s="312">
        <v>5702.2</v>
      </c>
      <c r="E139" s="83">
        <v>7471</v>
      </c>
      <c r="F139" s="83">
        <v>6467.4</v>
      </c>
      <c r="G139" s="10">
        <f t="shared" si="33"/>
        <v>-1003.6000000000004</v>
      </c>
      <c r="H139" s="10">
        <f t="shared" si="34"/>
        <v>86.566724668719047</v>
      </c>
    </row>
    <row r="140" spans="1:15" ht="24.75" customHeight="1">
      <c r="A140" s="39"/>
      <c r="B140" s="310" t="s">
        <v>163</v>
      </c>
      <c r="C140" s="310"/>
      <c r="D140" s="312">
        <v>391</v>
      </c>
      <c r="E140" s="83">
        <v>412.8</v>
      </c>
      <c r="F140" s="83">
        <v>690.9</v>
      </c>
      <c r="G140" s="10">
        <f t="shared" ref="G140:G203" si="38">F140-E140</f>
        <v>278.09999999999997</v>
      </c>
      <c r="H140" s="10">
        <f t="shared" ref="H140:H203" si="39">(F140/E140)*100</f>
        <v>167.3691860465116</v>
      </c>
    </row>
    <row r="141" spans="1:15" ht="24.75" customHeight="1">
      <c r="A141" s="39"/>
      <c r="B141" s="310" t="s">
        <v>173</v>
      </c>
      <c r="C141" s="310"/>
      <c r="D141" s="312">
        <v>1446</v>
      </c>
      <c r="E141" s="83">
        <v>2158.1999999999998</v>
      </c>
      <c r="F141" s="83">
        <v>2802.1</v>
      </c>
      <c r="G141" s="10">
        <f t="shared" si="38"/>
        <v>643.90000000000009</v>
      </c>
      <c r="H141" s="10">
        <f t="shared" si="39"/>
        <v>129.83504772495598</v>
      </c>
    </row>
    <row r="142" spans="1:15" ht="24.75" customHeight="1">
      <c r="A142" s="39"/>
      <c r="B142" s="310" t="s">
        <v>246</v>
      </c>
      <c r="C142" s="310"/>
      <c r="D142" s="312"/>
      <c r="E142" s="83">
        <v>13.3</v>
      </c>
      <c r="F142" s="83"/>
      <c r="G142" s="10">
        <f t="shared" si="38"/>
        <v>-13.3</v>
      </c>
      <c r="H142" s="10">
        <f t="shared" si="39"/>
        <v>0</v>
      </c>
      <c r="K142" s="21"/>
    </row>
    <row r="143" spans="1:15" ht="24.75" customHeight="1">
      <c r="A143" s="39"/>
      <c r="B143" s="310" t="s">
        <v>165</v>
      </c>
      <c r="C143" s="310"/>
      <c r="D143" s="312">
        <v>240.6</v>
      </c>
      <c r="E143" s="83">
        <v>246.9</v>
      </c>
      <c r="F143" s="83">
        <v>266.89999999999998</v>
      </c>
      <c r="G143" s="10">
        <f t="shared" si="38"/>
        <v>19.999999999999972</v>
      </c>
      <c r="H143" s="10">
        <f t="shared" si="39"/>
        <v>108.10044552450384</v>
      </c>
    </row>
    <row r="144" spans="1:15" ht="24.75" customHeight="1">
      <c r="A144" s="39" t="s">
        <v>349</v>
      </c>
      <c r="B144" s="45" t="s">
        <v>91</v>
      </c>
      <c r="C144" s="46">
        <v>1020</v>
      </c>
      <c r="D144" s="9">
        <f>D145+D147</f>
        <v>182.3</v>
      </c>
      <c r="E144" s="167">
        <f>E147</f>
        <v>231.5</v>
      </c>
      <c r="F144" s="167">
        <f>F147</f>
        <v>356.2</v>
      </c>
      <c r="G144" s="14">
        <f t="shared" si="38"/>
        <v>124.69999999999999</v>
      </c>
      <c r="H144" s="14">
        <f t="shared" si="39"/>
        <v>153.86609071274299</v>
      </c>
      <c r="I144" s="67"/>
      <c r="K144" s="21"/>
    </row>
    <row r="145" spans="1:15" ht="24.75" customHeight="1">
      <c r="A145" s="31" t="s">
        <v>350</v>
      </c>
      <c r="B145" s="43" t="s">
        <v>104</v>
      </c>
      <c r="C145" s="33">
        <v>1021</v>
      </c>
      <c r="D145" s="34">
        <f>D146</f>
        <v>4.9000000000000004</v>
      </c>
      <c r="E145" s="117">
        <f>E146</f>
        <v>0</v>
      </c>
      <c r="F145" s="117">
        <f>F146</f>
        <v>0</v>
      </c>
      <c r="G145" s="35">
        <f t="shared" si="38"/>
        <v>0</v>
      </c>
      <c r="H145" s="273" t="e">
        <f t="shared" si="39"/>
        <v>#DIV/0!</v>
      </c>
      <c r="I145" s="67"/>
      <c r="K145" s="21"/>
      <c r="N145" s="162"/>
      <c r="O145" s="162"/>
    </row>
    <row r="146" spans="1:15" ht="24.75" customHeight="1">
      <c r="A146" s="39"/>
      <c r="B146" s="359" t="s">
        <v>216</v>
      </c>
      <c r="C146" s="360"/>
      <c r="D146" s="353">
        <v>4.9000000000000004</v>
      </c>
      <c r="E146" s="167"/>
      <c r="F146" s="167"/>
      <c r="G146" s="14">
        <f t="shared" si="38"/>
        <v>0</v>
      </c>
      <c r="H146" s="274" t="e">
        <f t="shared" si="39"/>
        <v>#DIV/0!</v>
      </c>
      <c r="I146" s="67"/>
      <c r="K146" s="21"/>
      <c r="N146" s="162"/>
      <c r="O146" s="162"/>
    </row>
    <row r="147" spans="1:15" ht="24.75" customHeight="1">
      <c r="A147" s="31" t="s">
        <v>350</v>
      </c>
      <c r="B147" s="43" t="s">
        <v>167</v>
      </c>
      <c r="C147" s="33">
        <v>1025</v>
      </c>
      <c r="D147" s="34">
        <f>SUM(D148:D151)</f>
        <v>177.4</v>
      </c>
      <c r="E147" s="117">
        <f>SUM(E148:E151)</f>
        <v>231.5</v>
      </c>
      <c r="F147" s="117">
        <f>SUM(F148:F151)</f>
        <v>356.2</v>
      </c>
      <c r="G147" s="35">
        <f t="shared" si="38"/>
        <v>124.69999999999999</v>
      </c>
      <c r="H147" s="35">
        <f t="shared" si="39"/>
        <v>153.86609071274299</v>
      </c>
    </row>
    <row r="148" spans="1:15" ht="24.75" customHeight="1">
      <c r="A148" s="57"/>
      <c r="B148" s="370" t="s">
        <v>162</v>
      </c>
      <c r="C148" s="369"/>
      <c r="D148" s="364">
        <v>79.8</v>
      </c>
      <c r="E148" s="83">
        <v>168</v>
      </c>
      <c r="F148" s="83">
        <v>276.89999999999998</v>
      </c>
      <c r="G148" s="10">
        <f t="shared" si="38"/>
        <v>108.89999999999998</v>
      </c>
      <c r="H148" s="10">
        <f t="shared" si="39"/>
        <v>164.82142857142856</v>
      </c>
    </row>
    <row r="149" spans="1:15" ht="24.75" customHeight="1">
      <c r="A149" s="57"/>
      <c r="B149" s="370" t="s">
        <v>163</v>
      </c>
      <c r="C149" s="369"/>
      <c r="D149" s="364">
        <v>7.4</v>
      </c>
      <c r="E149" s="83">
        <v>9.4</v>
      </c>
      <c r="F149" s="83">
        <v>12.3</v>
      </c>
      <c r="G149" s="10">
        <f t="shared" si="38"/>
        <v>2.9000000000000004</v>
      </c>
      <c r="H149" s="10">
        <f t="shared" si="39"/>
        <v>130.85106382978725</v>
      </c>
    </row>
    <row r="150" spans="1:15" ht="24.75" customHeight="1">
      <c r="A150" s="57"/>
      <c r="B150" s="370" t="s">
        <v>164</v>
      </c>
      <c r="C150" s="369"/>
      <c r="D150" s="364">
        <v>86.6</v>
      </c>
      <c r="E150" s="83">
        <v>48.5</v>
      </c>
      <c r="F150" s="83">
        <v>62.9</v>
      </c>
      <c r="G150" s="10">
        <f t="shared" si="38"/>
        <v>14.399999999999999</v>
      </c>
      <c r="H150" s="10">
        <f t="shared" si="39"/>
        <v>129.69072164948454</v>
      </c>
    </row>
    <row r="151" spans="1:15" ht="24.75" customHeight="1">
      <c r="A151" s="57"/>
      <c r="B151" s="370" t="s">
        <v>174</v>
      </c>
      <c r="C151" s="369"/>
      <c r="D151" s="364">
        <v>3.6</v>
      </c>
      <c r="E151" s="83">
        <v>5.6</v>
      </c>
      <c r="F151" s="83">
        <v>4.0999999999999996</v>
      </c>
      <c r="G151" s="10">
        <f t="shared" si="38"/>
        <v>-1.5</v>
      </c>
      <c r="H151" s="10">
        <f t="shared" si="39"/>
        <v>73.214285714285708</v>
      </c>
    </row>
    <row r="152" spans="1:15" s="100" customFormat="1" ht="32.25" customHeight="1">
      <c r="A152" s="108" t="s">
        <v>255</v>
      </c>
      <c r="B152" s="109" t="s">
        <v>206</v>
      </c>
      <c r="C152" s="107"/>
      <c r="D152" s="94">
        <f>D154</f>
        <v>2734.1000000000004</v>
      </c>
      <c r="E152" s="94">
        <f>E154</f>
        <v>0</v>
      </c>
      <c r="F152" s="94">
        <f>F154</f>
        <v>0</v>
      </c>
      <c r="G152" s="95">
        <f t="shared" si="38"/>
        <v>0</v>
      </c>
      <c r="H152" s="275" t="e">
        <f t="shared" si="39"/>
        <v>#DIV/0!</v>
      </c>
      <c r="J152" s="104"/>
      <c r="K152" s="105"/>
      <c r="N152" s="106"/>
      <c r="O152" s="106"/>
    </row>
    <row r="153" spans="1:15" ht="24.75" customHeight="1">
      <c r="A153" s="57"/>
      <c r="B153" s="59" t="s">
        <v>85</v>
      </c>
      <c r="C153" s="36"/>
      <c r="D153" s="13"/>
      <c r="E153" s="83"/>
      <c r="F153" s="83"/>
      <c r="G153" s="10"/>
      <c r="H153" s="41"/>
    </row>
    <row r="154" spans="1:15" ht="27.75" customHeight="1">
      <c r="A154" s="30" t="s">
        <v>254</v>
      </c>
      <c r="B154" s="58" t="s">
        <v>89</v>
      </c>
      <c r="C154" s="46">
        <v>1010</v>
      </c>
      <c r="D154" s="9">
        <f>D155</f>
        <v>2734.1000000000004</v>
      </c>
      <c r="E154" s="167"/>
      <c r="F154" s="167">
        <f>F155</f>
        <v>0</v>
      </c>
      <c r="G154" s="14">
        <f t="shared" si="38"/>
        <v>0</v>
      </c>
      <c r="H154" s="274" t="e">
        <f t="shared" si="39"/>
        <v>#DIV/0!</v>
      </c>
      <c r="I154" s="15"/>
    </row>
    <row r="155" spans="1:15" ht="27" customHeight="1">
      <c r="A155" s="54" t="s">
        <v>256</v>
      </c>
      <c r="B155" s="52" t="s">
        <v>104</v>
      </c>
      <c r="C155" s="33">
        <v>1011</v>
      </c>
      <c r="D155" s="34">
        <f>SUM(D156:D159)</f>
        <v>2734.1000000000004</v>
      </c>
      <c r="E155" s="117"/>
      <c r="F155" s="117">
        <f>SUM(F156:F159)</f>
        <v>0</v>
      </c>
      <c r="G155" s="35">
        <f t="shared" si="38"/>
        <v>0</v>
      </c>
      <c r="H155" s="273" t="e">
        <f t="shared" si="39"/>
        <v>#DIV/0!</v>
      </c>
    </row>
    <row r="156" spans="1:15" ht="27" customHeight="1">
      <c r="A156" s="54"/>
      <c r="B156" s="305" t="s">
        <v>231</v>
      </c>
      <c r="C156" s="302"/>
      <c r="D156" s="301">
        <v>183</v>
      </c>
      <c r="E156" s="117"/>
      <c r="F156" s="83"/>
      <c r="G156" s="35">
        <f t="shared" si="38"/>
        <v>0</v>
      </c>
      <c r="H156" s="273" t="e">
        <f t="shared" si="39"/>
        <v>#DIV/0!</v>
      </c>
    </row>
    <row r="157" spans="1:15" ht="27" customHeight="1">
      <c r="A157" s="54"/>
      <c r="B157" s="304" t="s">
        <v>528</v>
      </c>
      <c r="C157" s="302"/>
      <c r="D157" s="301">
        <v>204.3</v>
      </c>
      <c r="E157" s="117"/>
      <c r="F157" s="83"/>
      <c r="G157" s="35">
        <f t="shared" si="38"/>
        <v>0</v>
      </c>
      <c r="H157" s="273" t="e">
        <f t="shared" si="39"/>
        <v>#DIV/0!</v>
      </c>
    </row>
    <row r="158" spans="1:15" ht="33" customHeight="1">
      <c r="A158" s="54"/>
      <c r="B158" s="299" t="s">
        <v>171</v>
      </c>
      <c r="C158" s="302"/>
      <c r="D158" s="301">
        <v>738.6</v>
      </c>
      <c r="E158" s="117"/>
      <c r="F158" s="83"/>
      <c r="G158" s="35">
        <f t="shared" si="38"/>
        <v>0</v>
      </c>
      <c r="H158" s="273" t="e">
        <f t="shared" si="39"/>
        <v>#DIV/0!</v>
      </c>
      <c r="N158" s="189"/>
      <c r="O158" s="189"/>
    </row>
    <row r="159" spans="1:15" ht="38.25" customHeight="1">
      <c r="A159" s="54"/>
      <c r="B159" s="304" t="s">
        <v>364</v>
      </c>
      <c r="C159" s="302"/>
      <c r="D159" s="301">
        <v>1608.2</v>
      </c>
      <c r="E159" s="117"/>
      <c r="F159" s="83"/>
      <c r="G159" s="35">
        <f t="shared" si="38"/>
        <v>0</v>
      </c>
      <c r="H159" s="273" t="e">
        <f t="shared" si="39"/>
        <v>#DIV/0!</v>
      </c>
    </row>
    <row r="160" spans="1:15" s="100" customFormat="1" ht="24.75" customHeight="1">
      <c r="A160" s="108" t="s">
        <v>257</v>
      </c>
      <c r="B160" s="102" t="s">
        <v>176</v>
      </c>
      <c r="C160" s="103"/>
      <c r="D160" s="94">
        <f>D162</f>
        <v>108.9</v>
      </c>
      <c r="E160" s="94">
        <f>E162</f>
        <v>96</v>
      </c>
      <c r="F160" s="94">
        <f>F162</f>
        <v>139.1</v>
      </c>
      <c r="G160" s="95">
        <f t="shared" si="38"/>
        <v>43.099999999999994</v>
      </c>
      <c r="H160" s="95">
        <f t="shared" si="39"/>
        <v>144.89583333333334</v>
      </c>
      <c r="I160" s="96"/>
      <c r="J160" s="104"/>
      <c r="K160" s="105"/>
      <c r="N160" s="106"/>
      <c r="O160" s="106"/>
    </row>
    <row r="161" spans="1:15" ht="24.75" customHeight="1">
      <c r="A161" s="57"/>
      <c r="B161" s="29" t="s">
        <v>85</v>
      </c>
      <c r="C161" s="60"/>
      <c r="D161" s="13"/>
      <c r="E161" s="83"/>
      <c r="F161" s="83"/>
      <c r="G161" s="14"/>
      <c r="H161" s="14"/>
      <c r="J161" s="281"/>
      <c r="K161" s="188"/>
    </row>
    <row r="162" spans="1:15" ht="24.75" customHeight="1">
      <c r="A162" s="30" t="s">
        <v>258</v>
      </c>
      <c r="B162" s="47" t="s">
        <v>12</v>
      </c>
      <c r="C162" s="46">
        <v>1030</v>
      </c>
      <c r="D162" s="9">
        <f>D163</f>
        <v>108.9</v>
      </c>
      <c r="E162" s="167">
        <f>E163</f>
        <v>96</v>
      </c>
      <c r="F162" s="167">
        <f>F163</f>
        <v>139.1</v>
      </c>
      <c r="G162" s="14">
        <f t="shared" si="38"/>
        <v>43.099999999999994</v>
      </c>
      <c r="H162" s="14">
        <f t="shared" si="39"/>
        <v>144.89583333333334</v>
      </c>
      <c r="J162" s="281"/>
      <c r="K162" s="188"/>
    </row>
    <row r="163" spans="1:15" ht="24.75" customHeight="1">
      <c r="A163" s="54" t="s">
        <v>696</v>
      </c>
      <c r="B163" s="61" t="s">
        <v>92</v>
      </c>
      <c r="C163" s="33">
        <v>1035</v>
      </c>
      <c r="D163" s="34">
        <f>SUM(D164:D166)</f>
        <v>108.9</v>
      </c>
      <c r="E163" s="117">
        <f>SUM(E164:E166)</f>
        <v>96</v>
      </c>
      <c r="F163" s="117">
        <f>SUM(F164:F166)</f>
        <v>139.1</v>
      </c>
      <c r="G163" s="35">
        <f t="shared" si="38"/>
        <v>43.099999999999994</v>
      </c>
      <c r="H163" s="35">
        <f t="shared" si="39"/>
        <v>144.89583333333334</v>
      </c>
      <c r="J163" s="281"/>
      <c r="K163" s="188"/>
    </row>
    <row r="164" spans="1:15" ht="24.75" customHeight="1">
      <c r="A164" s="56"/>
      <c r="B164" s="372" t="s">
        <v>162</v>
      </c>
      <c r="C164" s="375"/>
      <c r="D164" s="374">
        <v>10.199999999999999</v>
      </c>
      <c r="E164" s="83">
        <v>8</v>
      </c>
      <c r="F164" s="83">
        <v>20.399999999999999</v>
      </c>
      <c r="G164" s="10">
        <f t="shared" si="38"/>
        <v>12.399999999999999</v>
      </c>
      <c r="H164" s="10">
        <f t="shared" si="39"/>
        <v>254.99999999999997</v>
      </c>
    </row>
    <row r="165" spans="1:15" ht="24.75" customHeight="1">
      <c r="A165" s="56"/>
      <c r="B165" s="372" t="s">
        <v>163</v>
      </c>
      <c r="C165" s="375"/>
      <c r="D165" s="374">
        <v>4.2</v>
      </c>
      <c r="E165" s="83">
        <v>4</v>
      </c>
      <c r="F165" s="83">
        <v>9.3000000000000007</v>
      </c>
      <c r="G165" s="10">
        <f t="shared" si="38"/>
        <v>5.3000000000000007</v>
      </c>
      <c r="H165" s="10">
        <f t="shared" si="39"/>
        <v>232.50000000000003</v>
      </c>
    </row>
    <row r="166" spans="1:15" ht="26.25" customHeight="1">
      <c r="A166" s="30"/>
      <c r="B166" s="372" t="s">
        <v>164</v>
      </c>
      <c r="C166" s="375"/>
      <c r="D166" s="374">
        <v>94.5</v>
      </c>
      <c r="E166" s="83">
        <v>84</v>
      </c>
      <c r="F166" s="83">
        <v>109.4</v>
      </c>
      <c r="G166" s="10">
        <f t="shared" si="38"/>
        <v>25.400000000000006</v>
      </c>
      <c r="H166" s="10">
        <f t="shared" si="39"/>
        <v>130.23809523809524</v>
      </c>
    </row>
    <row r="167" spans="1:15" s="100" customFormat="1" ht="33" customHeight="1">
      <c r="A167" s="108" t="s">
        <v>259</v>
      </c>
      <c r="B167" s="110" t="s">
        <v>177</v>
      </c>
      <c r="C167" s="92"/>
      <c r="D167" s="94">
        <f>D169+D176</f>
        <v>281.39999999999998</v>
      </c>
      <c r="E167" s="94">
        <f>E169+E176</f>
        <v>700</v>
      </c>
      <c r="F167" s="94">
        <f>F169+F176</f>
        <v>1188</v>
      </c>
      <c r="G167" s="95">
        <f t="shared" si="38"/>
        <v>488</v>
      </c>
      <c r="H167" s="95">
        <f t="shared" si="39"/>
        <v>169.71428571428569</v>
      </c>
      <c r="J167" s="97"/>
      <c r="L167" s="105"/>
      <c r="N167" s="106"/>
      <c r="O167" s="106"/>
    </row>
    <row r="168" spans="1:15" ht="27" customHeight="1">
      <c r="A168" s="30"/>
      <c r="B168" s="29" t="s">
        <v>85</v>
      </c>
      <c r="C168" s="89"/>
      <c r="D168" s="13"/>
      <c r="E168" s="83"/>
      <c r="F168" s="83"/>
      <c r="G168" s="14"/>
      <c r="H168" s="14"/>
      <c r="I168" s="15"/>
    </row>
    <row r="169" spans="1:15" ht="32.25" customHeight="1">
      <c r="A169" s="30" t="s">
        <v>260</v>
      </c>
      <c r="B169" s="42" t="s">
        <v>89</v>
      </c>
      <c r="C169" s="89">
        <v>1010</v>
      </c>
      <c r="D169" s="9">
        <f>D170</f>
        <v>261.7</v>
      </c>
      <c r="E169" s="167">
        <f>E170</f>
        <v>686</v>
      </c>
      <c r="F169" s="167">
        <f>F170</f>
        <v>1177.7</v>
      </c>
      <c r="G169" s="14">
        <f t="shared" si="38"/>
        <v>491.70000000000005</v>
      </c>
      <c r="H169" s="14">
        <f t="shared" si="39"/>
        <v>171.67638483965015</v>
      </c>
      <c r="I169" s="15"/>
    </row>
    <row r="170" spans="1:15" ht="28.5" customHeight="1">
      <c r="A170" s="54" t="s">
        <v>261</v>
      </c>
      <c r="B170" s="32" t="s">
        <v>96</v>
      </c>
      <c r="C170" s="51">
        <v>1015</v>
      </c>
      <c r="D170" s="34">
        <f>SUM(D171:D175)</f>
        <v>261.7</v>
      </c>
      <c r="E170" s="117">
        <f>SUM(E171:E175)</f>
        <v>686</v>
      </c>
      <c r="F170" s="34">
        <f>SUM(F171:F175)</f>
        <v>1177.7</v>
      </c>
      <c r="G170" s="35">
        <f t="shared" si="38"/>
        <v>491.70000000000005</v>
      </c>
      <c r="H170" s="35">
        <f t="shared" si="39"/>
        <v>171.67638483965015</v>
      </c>
    </row>
    <row r="171" spans="1:15" ht="24.75" customHeight="1">
      <c r="A171" s="56"/>
      <c r="B171" s="317" t="s">
        <v>178</v>
      </c>
      <c r="C171" s="314"/>
      <c r="D171" s="312">
        <v>110.5</v>
      </c>
      <c r="E171" s="83">
        <v>486</v>
      </c>
      <c r="F171" s="83">
        <f>325.2</f>
        <v>325.2</v>
      </c>
      <c r="G171" s="10">
        <f t="shared" si="38"/>
        <v>-160.80000000000001</v>
      </c>
      <c r="H171" s="10">
        <f t="shared" si="39"/>
        <v>66.913580246913568</v>
      </c>
    </row>
    <row r="172" spans="1:15" ht="24.75" customHeight="1">
      <c r="A172" s="56"/>
      <c r="B172" s="317" t="s">
        <v>143</v>
      </c>
      <c r="C172" s="314"/>
      <c r="D172" s="312"/>
      <c r="E172" s="83"/>
      <c r="F172" s="83">
        <v>522.5</v>
      </c>
      <c r="G172" s="10">
        <f t="shared" si="38"/>
        <v>522.5</v>
      </c>
      <c r="H172" s="41" t="e">
        <f t="shared" si="39"/>
        <v>#DIV/0!</v>
      </c>
      <c r="N172" s="114"/>
      <c r="O172" s="114"/>
    </row>
    <row r="173" spans="1:15" ht="24.75" customHeight="1">
      <c r="A173" s="56"/>
      <c r="B173" s="317" t="s">
        <v>145</v>
      </c>
      <c r="C173" s="314"/>
      <c r="D173" s="312"/>
      <c r="E173" s="83"/>
      <c r="F173" s="83">
        <v>265</v>
      </c>
      <c r="G173" s="10">
        <f t="shared" si="38"/>
        <v>265</v>
      </c>
      <c r="H173" s="41" t="e">
        <f t="shared" si="39"/>
        <v>#DIV/0!</v>
      </c>
      <c r="N173" s="114"/>
      <c r="O173" s="114"/>
    </row>
    <row r="174" spans="1:15" ht="24.75" customHeight="1">
      <c r="A174" s="56"/>
      <c r="B174" s="317" t="s">
        <v>189</v>
      </c>
      <c r="C174" s="314"/>
      <c r="D174" s="312">
        <v>150</v>
      </c>
      <c r="E174" s="83">
        <v>200</v>
      </c>
      <c r="F174" s="83">
        <v>65</v>
      </c>
      <c r="G174" s="10">
        <f t="shared" si="38"/>
        <v>-135</v>
      </c>
      <c r="H174" s="10">
        <f t="shared" si="39"/>
        <v>32.5</v>
      </c>
    </row>
    <row r="175" spans="1:15" ht="24.75" customHeight="1">
      <c r="A175" s="56"/>
      <c r="B175" s="317" t="s">
        <v>244</v>
      </c>
      <c r="C175" s="314"/>
      <c r="D175" s="312">
        <v>1.2</v>
      </c>
      <c r="E175" s="83"/>
      <c r="F175" s="83"/>
      <c r="G175" s="10">
        <f t="shared" si="38"/>
        <v>0</v>
      </c>
      <c r="H175" s="41" t="e">
        <f t="shared" si="39"/>
        <v>#DIV/0!</v>
      </c>
      <c r="N175" s="197"/>
      <c r="O175" s="197"/>
    </row>
    <row r="176" spans="1:15" ht="28.5" customHeight="1">
      <c r="A176" s="30" t="s">
        <v>262</v>
      </c>
      <c r="B176" s="86" t="s">
        <v>91</v>
      </c>
      <c r="C176" s="89">
        <v>1020</v>
      </c>
      <c r="D176" s="9">
        <f>D177</f>
        <v>19.7</v>
      </c>
      <c r="E176" s="167">
        <f>E177</f>
        <v>14</v>
      </c>
      <c r="F176" s="167">
        <f>F177</f>
        <v>10.3</v>
      </c>
      <c r="G176" s="14">
        <f t="shared" si="38"/>
        <v>-3.6999999999999993</v>
      </c>
      <c r="H176" s="14">
        <f t="shared" si="39"/>
        <v>73.571428571428584</v>
      </c>
    </row>
    <row r="177" spans="1:15" ht="30" customHeight="1">
      <c r="A177" s="54" t="s">
        <v>263</v>
      </c>
      <c r="B177" s="43" t="s">
        <v>167</v>
      </c>
      <c r="C177" s="33">
        <v>1025</v>
      </c>
      <c r="D177" s="34">
        <f>SUM(D178:D179)</f>
        <v>19.7</v>
      </c>
      <c r="E177" s="117">
        <f>E178+E179</f>
        <v>14</v>
      </c>
      <c r="F177" s="117">
        <f>SUM(F178:F179)</f>
        <v>10.3</v>
      </c>
      <c r="G177" s="35">
        <f t="shared" si="38"/>
        <v>-3.6999999999999993</v>
      </c>
      <c r="H177" s="35">
        <f t="shared" si="39"/>
        <v>73.571428571428584</v>
      </c>
    </row>
    <row r="178" spans="1:15" ht="24.75" customHeight="1">
      <c r="A178" s="30"/>
      <c r="B178" s="365" t="s">
        <v>179</v>
      </c>
      <c r="C178" s="369"/>
      <c r="D178" s="364">
        <v>7.2</v>
      </c>
      <c r="E178" s="83">
        <v>6</v>
      </c>
      <c r="F178" s="83">
        <v>10.3</v>
      </c>
      <c r="G178" s="10">
        <f t="shared" si="38"/>
        <v>4.3000000000000007</v>
      </c>
      <c r="H178" s="10">
        <f t="shared" si="39"/>
        <v>171.66666666666669</v>
      </c>
    </row>
    <row r="179" spans="1:15" ht="27.75" customHeight="1">
      <c r="A179" s="30"/>
      <c r="B179" s="365" t="s">
        <v>244</v>
      </c>
      <c r="C179" s="369"/>
      <c r="D179" s="364">
        <v>12.5</v>
      </c>
      <c r="E179" s="83">
        <v>8</v>
      </c>
      <c r="F179" s="83"/>
      <c r="G179" s="10">
        <f t="shared" si="38"/>
        <v>-8</v>
      </c>
      <c r="H179" s="10">
        <f t="shared" si="39"/>
        <v>0</v>
      </c>
    </row>
    <row r="180" spans="1:15" s="100" customFormat="1" ht="30" customHeight="1">
      <c r="A180" s="108" t="s">
        <v>264</v>
      </c>
      <c r="B180" s="110" t="s">
        <v>236</v>
      </c>
      <c r="C180" s="107"/>
      <c r="D180" s="94">
        <f>D182</f>
        <v>0</v>
      </c>
      <c r="E180" s="94"/>
      <c r="F180" s="94">
        <f>F182</f>
        <v>19.5</v>
      </c>
      <c r="G180" s="95">
        <f t="shared" si="38"/>
        <v>19.5</v>
      </c>
      <c r="H180" s="275" t="e">
        <f t="shared" si="39"/>
        <v>#DIV/0!</v>
      </c>
      <c r="J180" s="104"/>
      <c r="K180" s="105"/>
      <c r="N180" s="106"/>
      <c r="O180" s="106"/>
    </row>
    <row r="181" spans="1:15" ht="28.5" customHeight="1">
      <c r="A181" s="30"/>
      <c r="B181" s="277" t="s">
        <v>85</v>
      </c>
      <c r="C181" s="36"/>
      <c r="D181" s="91"/>
      <c r="E181" s="83"/>
      <c r="F181" s="83"/>
      <c r="G181" s="10"/>
      <c r="H181" s="41"/>
    </row>
    <row r="182" spans="1:15" ht="24.75" customHeight="1">
      <c r="A182" s="30" t="s">
        <v>646</v>
      </c>
      <c r="B182" s="45" t="s">
        <v>237</v>
      </c>
      <c r="C182" s="46">
        <v>1030</v>
      </c>
      <c r="D182" s="9">
        <f>D183</f>
        <v>0</v>
      </c>
      <c r="E182" s="167"/>
      <c r="F182" s="167">
        <f>F183</f>
        <v>19.5</v>
      </c>
      <c r="G182" s="14">
        <f t="shared" si="38"/>
        <v>19.5</v>
      </c>
      <c r="H182" s="274" t="e">
        <f t="shared" si="39"/>
        <v>#DIV/0!</v>
      </c>
    </row>
    <row r="183" spans="1:15" ht="24.75" customHeight="1">
      <c r="A183" s="54" t="s">
        <v>697</v>
      </c>
      <c r="B183" s="43" t="s">
        <v>237</v>
      </c>
      <c r="C183" s="33">
        <v>1035</v>
      </c>
      <c r="D183" s="34">
        <f>D184</f>
        <v>0</v>
      </c>
      <c r="E183" s="117"/>
      <c r="F183" s="117">
        <f>F184</f>
        <v>19.5</v>
      </c>
      <c r="G183" s="35">
        <f t="shared" si="38"/>
        <v>19.5</v>
      </c>
      <c r="H183" s="273" t="e">
        <f t="shared" si="39"/>
        <v>#DIV/0!</v>
      </c>
    </row>
    <row r="184" spans="1:15" ht="24.75" customHeight="1">
      <c r="A184" s="30"/>
      <c r="B184" s="381" t="s">
        <v>238</v>
      </c>
      <c r="C184" s="375"/>
      <c r="D184" s="374"/>
      <c r="E184" s="83"/>
      <c r="F184" s="83">
        <v>19.5</v>
      </c>
      <c r="G184" s="10">
        <f t="shared" si="38"/>
        <v>19.5</v>
      </c>
      <c r="H184" s="41" t="e">
        <f t="shared" si="39"/>
        <v>#DIV/0!</v>
      </c>
    </row>
    <row r="185" spans="1:15" s="100" customFormat="1" ht="26.25" customHeight="1">
      <c r="A185" s="108" t="s">
        <v>175</v>
      </c>
      <c r="B185" s="111" t="s">
        <v>192</v>
      </c>
      <c r="C185" s="112"/>
      <c r="D185" s="94">
        <f>D187+D206</f>
        <v>8324.7000000000007</v>
      </c>
      <c r="E185" s="94">
        <f>E187</f>
        <v>0</v>
      </c>
      <c r="F185" s="94">
        <f>F187</f>
        <v>5737.9</v>
      </c>
      <c r="G185" s="95">
        <f t="shared" si="38"/>
        <v>5737.9</v>
      </c>
      <c r="H185" s="276" t="e">
        <f t="shared" si="39"/>
        <v>#DIV/0!</v>
      </c>
      <c r="I185" s="96"/>
      <c r="J185" s="104"/>
      <c r="K185" s="105"/>
      <c r="N185" s="106"/>
      <c r="O185" s="106"/>
    </row>
    <row r="186" spans="1:15" ht="24.75" customHeight="1">
      <c r="A186" s="56"/>
      <c r="B186" s="29" t="s">
        <v>85</v>
      </c>
      <c r="C186" s="8"/>
      <c r="D186" s="13"/>
      <c r="E186" s="83">
        <f>E188</f>
        <v>0</v>
      </c>
      <c r="F186" s="83"/>
      <c r="G186" s="14"/>
      <c r="H186" s="274"/>
    </row>
    <row r="187" spans="1:15" ht="24.75" customHeight="1">
      <c r="A187" s="30" t="s">
        <v>224</v>
      </c>
      <c r="B187" s="86" t="s">
        <v>89</v>
      </c>
      <c r="C187" s="89">
        <v>1010</v>
      </c>
      <c r="D187" s="9">
        <f>D188+D195</f>
        <v>8312.3000000000011</v>
      </c>
      <c r="E187" s="167"/>
      <c r="F187" s="167">
        <f>F188+F195+F194</f>
        <v>5737.9</v>
      </c>
      <c r="G187" s="14">
        <f t="shared" si="38"/>
        <v>5737.9</v>
      </c>
      <c r="H187" s="274" t="e">
        <f t="shared" si="39"/>
        <v>#DIV/0!</v>
      </c>
    </row>
    <row r="188" spans="1:15" s="69" customFormat="1" ht="24.75" customHeight="1">
      <c r="A188" s="54" t="s">
        <v>225</v>
      </c>
      <c r="B188" s="43" t="s">
        <v>104</v>
      </c>
      <c r="C188" s="33">
        <v>1011</v>
      </c>
      <c r="D188" s="34">
        <f>SUM(D189:D193)</f>
        <v>7682.0000000000009</v>
      </c>
      <c r="E188" s="117"/>
      <c r="F188" s="117">
        <f>SUM(F189:F193)</f>
        <v>4864.7</v>
      </c>
      <c r="G188" s="35">
        <f t="shared" si="38"/>
        <v>4864.7</v>
      </c>
      <c r="H188" s="273" t="e">
        <f t="shared" si="39"/>
        <v>#DIV/0!</v>
      </c>
      <c r="J188" s="73"/>
      <c r="N188" s="71"/>
      <c r="O188" s="71"/>
    </row>
    <row r="189" spans="1:15" ht="24.75" customHeight="1">
      <c r="A189" s="30"/>
      <c r="B189" s="304" t="s">
        <v>186</v>
      </c>
      <c r="C189" s="306"/>
      <c r="D189" s="301">
        <v>6540.6</v>
      </c>
      <c r="E189" s="83"/>
      <c r="F189" s="83">
        <v>4367.8</v>
      </c>
      <c r="G189" s="10">
        <f t="shared" si="38"/>
        <v>4367.8</v>
      </c>
      <c r="H189" s="41" t="e">
        <f t="shared" si="39"/>
        <v>#DIV/0!</v>
      </c>
    </row>
    <row r="190" spans="1:15" ht="24.75" customHeight="1">
      <c r="A190" s="30"/>
      <c r="B190" s="304" t="s">
        <v>168</v>
      </c>
      <c r="C190" s="306"/>
      <c r="D190" s="301">
        <v>39.1</v>
      </c>
      <c r="E190" s="83"/>
      <c r="F190" s="83">
        <v>53.9</v>
      </c>
      <c r="G190" s="10">
        <f t="shared" si="38"/>
        <v>53.9</v>
      </c>
      <c r="H190" s="41" t="e">
        <f t="shared" si="39"/>
        <v>#DIV/0!</v>
      </c>
    </row>
    <row r="191" spans="1:15" ht="24.75" customHeight="1">
      <c r="A191" s="30"/>
      <c r="B191" s="304" t="s">
        <v>136</v>
      </c>
      <c r="C191" s="306"/>
      <c r="D191" s="301">
        <v>436.2</v>
      </c>
      <c r="E191" s="83"/>
      <c r="F191" s="83">
        <v>272.10000000000002</v>
      </c>
      <c r="G191" s="10">
        <f t="shared" si="38"/>
        <v>272.10000000000002</v>
      </c>
      <c r="H191" s="41" t="e">
        <f t="shared" si="39"/>
        <v>#DIV/0!</v>
      </c>
    </row>
    <row r="192" spans="1:15" ht="24.75" customHeight="1">
      <c r="A192" s="30"/>
      <c r="B192" s="304" t="s">
        <v>193</v>
      </c>
      <c r="C192" s="306"/>
      <c r="D192" s="301">
        <v>24.1</v>
      </c>
      <c r="E192" s="83"/>
      <c r="F192" s="83">
        <v>7.9</v>
      </c>
      <c r="G192" s="10">
        <f t="shared" si="38"/>
        <v>7.9</v>
      </c>
      <c r="H192" s="41" t="e">
        <f t="shared" si="39"/>
        <v>#DIV/0!</v>
      </c>
    </row>
    <row r="193" spans="1:15" ht="40.5" customHeight="1">
      <c r="A193" s="30"/>
      <c r="B193" s="299" t="s">
        <v>187</v>
      </c>
      <c r="C193" s="306"/>
      <c r="D193" s="301">
        <v>642</v>
      </c>
      <c r="E193" s="83"/>
      <c r="F193" s="83">
        <f>113+50</f>
        <v>163</v>
      </c>
      <c r="G193" s="10">
        <f t="shared" si="38"/>
        <v>163</v>
      </c>
      <c r="H193" s="41" t="e">
        <f t="shared" si="39"/>
        <v>#DIV/0!</v>
      </c>
      <c r="I193" s="15"/>
    </row>
    <row r="194" spans="1:15" s="4" customFormat="1" ht="29.25" customHeight="1">
      <c r="A194" s="54" t="s">
        <v>226</v>
      </c>
      <c r="B194" s="32" t="s">
        <v>4</v>
      </c>
      <c r="C194" s="33">
        <v>1014</v>
      </c>
      <c r="D194" s="34"/>
      <c r="E194" s="117"/>
      <c r="F194" s="117">
        <v>14.8</v>
      </c>
      <c r="G194" s="35">
        <f t="shared" si="38"/>
        <v>14.8</v>
      </c>
      <c r="H194" s="273" t="e">
        <f t="shared" si="39"/>
        <v>#DIV/0!</v>
      </c>
      <c r="I194" s="21"/>
      <c r="J194" s="72"/>
      <c r="N194" s="65"/>
      <c r="O194" s="65"/>
    </row>
    <row r="195" spans="1:15" s="69" customFormat="1" ht="24.75" customHeight="1">
      <c r="A195" s="54" t="s">
        <v>226</v>
      </c>
      <c r="B195" s="55" t="s">
        <v>96</v>
      </c>
      <c r="C195" s="51">
        <v>1015</v>
      </c>
      <c r="D195" s="34">
        <f>SUM(D196:D205)</f>
        <v>630.29999999999995</v>
      </c>
      <c r="E195" s="117"/>
      <c r="F195" s="117">
        <f>SUM(F196:F205)</f>
        <v>858.4</v>
      </c>
      <c r="G195" s="35">
        <f t="shared" si="38"/>
        <v>858.4</v>
      </c>
      <c r="H195" s="273" t="e">
        <f t="shared" si="39"/>
        <v>#DIV/0!</v>
      </c>
      <c r="I195" s="164"/>
      <c r="J195" s="73"/>
      <c r="N195" s="71"/>
      <c r="O195" s="71"/>
    </row>
    <row r="196" spans="1:15" ht="24.75" customHeight="1">
      <c r="A196" s="56"/>
      <c r="B196" s="313" t="s">
        <v>145</v>
      </c>
      <c r="C196" s="314"/>
      <c r="D196" s="312">
        <v>34.5</v>
      </c>
      <c r="E196" s="83"/>
      <c r="F196" s="83">
        <f>2.1</f>
        <v>2.1</v>
      </c>
      <c r="G196" s="10">
        <f t="shared" si="38"/>
        <v>2.1</v>
      </c>
      <c r="H196" s="41" t="e">
        <f t="shared" si="39"/>
        <v>#DIV/0!</v>
      </c>
      <c r="I196" s="15"/>
      <c r="K196" s="1"/>
      <c r="N196" s="172"/>
      <c r="O196" s="172"/>
    </row>
    <row r="197" spans="1:15" ht="24.75" customHeight="1">
      <c r="A197" s="56"/>
      <c r="B197" s="313" t="s">
        <v>142</v>
      </c>
      <c r="C197" s="314"/>
      <c r="D197" s="312">
        <v>10</v>
      </c>
      <c r="E197" s="83"/>
      <c r="F197" s="83"/>
      <c r="G197" s="10">
        <f t="shared" si="38"/>
        <v>0</v>
      </c>
      <c r="H197" s="41" t="e">
        <f t="shared" si="39"/>
        <v>#DIV/0!</v>
      </c>
      <c r="I197" s="15"/>
      <c r="K197" s="1"/>
      <c r="N197" s="180"/>
      <c r="O197" s="180"/>
    </row>
    <row r="198" spans="1:15" ht="24.75" customHeight="1">
      <c r="A198" s="56"/>
      <c r="B198" s="313" t="s">
        <v>250</v>
      </c>
      <c r="C198" s="314"/>
      <c r="D198" s="312"/>
      <c r="E198" s="83"/>
      <c r="F198" s="83">
        <v>10.9</v>
      </c>
      <c r="G198" s="10">
        <f t="shared" si="38"/>
        <v>10.9</v>
      </c>
      <c r="H198" s="41" t="e">
        <f t="shared" si="39"/>
        <v>#DIV/0!</v>
      </c>
      <c r="I198" s="15"/>
      <c r="K198" s="1"/>
      <c r="N198" s="187"/>
      <c r="O198" s="187"/>
    </row>
    <row r="199" spans="1:15" ht="24.75" customHeight="1">
      <c r="A199" s="30"/>
      <c r="B199" s="317" t="s">
        <v>159</v>
      </c>
      <c r="C199" s="314"/>
      <c r="D199" s="312">
        <v>448.9</v>
      </c>
      <c r="E199" s="83"/>
      <c r="F199" s="83">
        <v>752.8</v>
      </c>
      <c r="G199" s="10">
        <f t="shared" si="38"/>
        <v>752.8</v>
      </c>
      <c r="H199" s="41" t="e">
        <f t="shared" si="39"/>
        <v>#DIV/0!</v>
      </c>
    </row>
    <row r="200" spans="1:15" ht="24.75" customHeight="1">
      <c r="A200" s="30"/>
      <c r="B200" s="317" t="s">
        <v>269</v>
      </c>
      <c r="C200" s="314"/>
      <c r="D200" s="312">
        <v>0.4</v>
      </c>
      <c r="E200" s="83"/>
      <c r="F200" s="83"/>
      <c r="G200" s="10">
        <f t="shared" si="38"/>
        <v>0</v>
      </c>
      <c r="H200" s="41" t="e">
        <f t="shared" si="39"/>
        <v>#DIV/0!</v>
      </c>
      <c r="N200" s="162"/>
      <c r="O200" s="162"/>
    </row>
    <row r="201" spans="1:15" ht="24.75" customHeight="1">
      <c r="A201" s="30"/>
      <c r="B201" s="317" t="s">
        <v>178</v>
      </c>
      <c r="C201" s="314"/>
      <c r="D201" s="312">
        <v>74.5</v>
      </c>
      <c r="E201" s="83"/>
      <c r="F201" s="83">
        <f>85</f>
        <v>85</v>
      </c>
      <c r="G201" s="10">
        <f t="shared" si="38"/>
        <v>85</v>
      </c>
      <c r="H201" s="41" t="e">
        <f t="shared" si="39"/>
        <v>#DIV/0!</v>
      </c>
    </row>
    <row r="202" spans="1:15" ht="24.75" customHeight="1">
      <c r="A202" s="30"/>
      <c r="B202" s="315" t="s">
        <v>157</v>
      </c>
      <c r="C202" s="314"/>
      <c r="D202" s="312"/>
      <c r="E202" s="83"/>
      <c r="F202" s="83">
        <f>2.6</f>
        <v>2.6</v>
      </c>
      <c r="G202" s="10">
        <f t="shared" si="38"/>
        <v>2.6</v>
      </c>
      <c r="H202" s="41" t="e">
        <f t="shared" si="39"/>
        <v>#DIV/0!</v>
      </c>
      <c r="N202" s="187"/>
      <c r="O202" s="187"/>
    </row>
    <row r="203" spans="1:15" ht="24.75" customHeight="1">
      <c r="A203" s="30"/>
      <c r="B203" s="317" t="s">
        <v>270</v>
      </c>
      <c r="C203" s="314"/>
      <c r="D203" s="312">
        <v>56.8</v>
      </c>
      <c r="E203" s="83"/>
      <c r="F203" s="83"/>
      <c r="G203" s="10">
        <f t="shared" si="38"/>
        <v>0</v>
      </c>
      <c r="H203" s="41" t="e">
        <f t="shared" si="39"/>
        <v>#DIV/0!</v>
      </c>
      <c r="N203" s="162"/>
      <c r="O203" s="162"/>
    </row>
    <row r="204" spans="1:15" ht="24.75" customHeight="1">
      <c r="A204" s="30"/>
      <c r="B204" s="317" t="s">
        <v>164</v>
      </c>
      <c r="C204" s="314"/>
      <c r="D204" s="312"/>
      <c r="E204" s="83"/>
      <c r="F204" s="83">
        <f>2.5</f>
        <v>2.5</v>
      </c>
      <c r="G204" s="10">
        <f t="shared" ref="G204:G258" si="40">F204-E204</f>
        <v>2.5</v>
      </c>
      <c r="H204" s="41" t="e">
        <f t="shared" ref="H204:H258" si="41">(F204/E204)*100</f>
        <v>#DIV/0!</v>
      </c>
      <c r="N204" s="187"/>
      <c r="O204" s="187"/>
    </row>
    <row r="205" spans="1:15" ht="24.75" customHeight="1">
      <c r="A205" s="30"/>
      <c r="B205" s="317" t="s">
        <v>165</v>
      </c>
      <c r="C205" s="314"/>
      <c r="D205" s="312">
        <v>5.2</v>
      </c>
      <c r="E205" s="83"/>
      <c r="F205" s="83">
        <f>2.5</f>
        <v>2.5</v>
      </c>
      <c r="G205" s="10">
        <f t="shared" si="40"/>
        <v>2.5</v>
      </c>
      <c r="H205" s="41" t="e">
        <f t="shared" si="41"/>
        <v>#DIV/0!</v>
      </c>
    </row>
    <row r="206" spans="1:15" ht="24.75" customHeight="1">
      <c r="A206" s="30" t="s">
        <v>639</v>
      </c>
      <c r="B206" s="182" t="s">
        <v>91</v>
      </c>
      <c r="C206" s="181">
        <v>1020</v>
      </c>
      <c r="D206" s="9">
        <f>D207+D210</f>
        <v>12.399999999999999</v>
      </c>
      <c r="E206" s="83"/>
      <c r="F206" s="83"/>
      <c r="G206" s="10">
        <f t="shared" si="40"/>
        <v>0</v>
      </c>
      <c r="H206" s="41" t="e">
        <f t="shared" si="41"/>
        <v>#DIV/0!</v>
      </c>
      <c r="N206" s="180"/>
      <c r="O206" s="180"/>
    </row>
    <row r="207" spans="1:15" ht="24.75" customHeight="1">
      <c r="A207" s="54" t="s">
        <v>640</v>
      </c>
      <c r="B207" s="43" t="s">
        <v>104</v>
      </c>
      <c r="C207" s="33">
        <v>1021</v>
      </c>
      <c r="D207" s="34">
        <f>SUM(D208:D209)</f>
        <v>7.8999999999999995</v>
      </c>
      <c r="E207" s="83"/>
      <c r="F207" s="83"/>
      <c r="G207" s="10">
        <f t="shared" si="40"/>
        <v>0</v>
      </c>
      <c r="H207" s="41" t="e">
        <f t="shared" si="41"/>
        <v>#DIV/0!</v>
      </c>
      <c r="N207" s="180"/>
      <c r="O207" s="180"/>
    </row>
    <row r="208" spans="1:15" ht="24.75" customHeight="1">
      <c r="A208" s="30"/>
      <c r="B208" s="359" t="s">
        <v>168</v>
      </c>
      <c r="C208" s="355"/>
      <c r="D208" s="353">
        <v>1.8</v>
      </c>
      <c r="E208" s="83"/>
      <c r="F208" s="83"/>
      <c r="G208" s="10">
        <f t="shared" si="40"/>
        <v>0</v>
      </c>
      <c r="H208" s="41" t="e">
        <f t="shared" si="41"/>
        <v>#DIV/0!</v>
      </c>
      <c r="N208" s="180"/>
      <c r="O208" s="180"/>
    </row>
    <row r="209" spans="1:15" ht="24.75" customHeight="1">
      <c r="A209" s="30"/>
      <c r="B209" s="359" t="s">
        <v>193</v>
      </c>
      <c r="C209" s="355"/>
      <c r="D209" s="353">
        <v>6.1</v>
      </c>
      <c r="E209" s="83"/>
      <c r="F209" s="83"/>
      <c r="G209" s="10">
        <f t="shared" si="40"/>
        <v>0</v>
      </c>
      <c r="H209" s="41" t="e">
        <f t="shared" si="41"/>
        <v>#DIV/0!</v>
      </c>
      <c r="N209" s="180"/>
      <c r="O209" s="180"/>
    </row>
    <row r="210" spans="1:15" ht="24.75" customHeight="1">
      <c r="A210" s="54" t="s">
        <v>641</v>
      </c>
      <c r="B210" s="43" t="s">
        <v>167</v>
      </c>
      <c r="C210" s="33">
        <v>1025</v>
      </c>
      <c r="D210" s="13">
        <f>D211</f>
        <v>4.5</v>
      </c>
      <c r="E210" s="83"/>
      <c r="F210" s="83"/>
      <c r="G210" s="10">
        <f t="shared" si="40"/>
        <v>0</v>
      </c>
      <c r="H210" s="41" t="e">
        <f t="shared" si="41"/>
        <v>#DIV/0!</v>
      </c>
      <c r="N210" s="180"/>
      <c r="O210" s="180"/>
    </row>
    <row r="211" spans="1:15" ht="24.75" customHeight="1">
      <c r="A211" s="30"/>
      <c r="B211" s="365" t="s">
        <v>365</v>
      </c>
      <c r="C211" s="371"/>
      <c r="D211" s="364">
        <v>4.5</v>
      </c>
      <c r="E211" s="83"/>
      <c r="F211" s="83"/>
      <c r="G211" s="10">
        <f t="shared" si="40"/>
        <v>0</v>
      </c>
      <c r="H211" s="41" t="e">
        <f t="shared" si="41"/>
        <v>#DIV/0!</v>
      </c>
      <c r="N211" s="180"/>
      <c r="O211" s="180"/>
    </row>
    <row r="212" spans="1:15" s="100" customFormat="1" ht="24.75" customHeight="1">
      <c r="A212" s="108" t="s">
        <v>351</v>
      </c>
      <c r="B212" s="102" t="s">
        <v>195</v>
      </c>
      <c r="C212" s="92"/>
      <c r="D212" s="94">
        <f>D214+D232+D247</f>
        <v>870.90000000000009</v>
      </c>
      <c r="E212" s="94">
        <f>E214+E232</f>
        <v>0</v>
      </c>
      <c r="F212" s="94">
        <f>F214+F232+F247</f>
        <v>590.79999999999995</v>
      </c>
      <c r="G212" s="95">
        <f t="shared" si="40"/>
        <v>590.79999999999995</v>
      </c>
      <c r="H212" s="275" t="e">
        <f t="shared" si="41"/>
        <v>#DIV/0!</v>
      </c>
      <c r="I212" s="96"/>
      <c r="J212" s="104"/>
      <c r="K212" s="105"/>
      <c r="N212" s="106"/>
      <c r="O212" s="106"/>
    </row>
    <row r="213" spans="1:15" ht="24.75" customHeight="1">
      <c r="A213" s="30"/>
      <c r="B213" s="49" t="s">
        <v>85</v>
      </c>
      <c r="C213" s="89"/>
      <c r="D213" s="13"/>
      <c r="E213" s="83"/>
      <c r="F213" s="83"/>
      <c r="G213" s="10"/>
      <c r="H213" s="41"/>
      <c r="J213" s="21"/>
    </row>
    <row r="214" spans="1:15" ht="24.75" customHeight="1">
      <c r="A214" s="30" t="s">
        <v>352</v>
      </c>
      <c r="B214" s="86" t="s">
        <v>89</v>
      </c>
      <c r="C214" s="89">
        <v>1010</v>
      </c>
      <c r="D214" s="9">
        <f>D215+D220+D221</f>
        <v>600.80000000000007</v>
      </c>
      <c r="E214" s="167">
        <f>E215+E220+E221</f>
        <v>0</v>
      </c>
      <c r="F214" s="167">
        <f>F215+F220+F221</f>
        <v>331</v>
      </c>
      <c r="G214" s="14">
        <f t="shared" si="40"/>
        <v>331</v>
      </c>
      <c r="H214" s="274" t="e">
        <f t="shared" si="41"/>
        <v>#DIV/0!</v>
      </c>
    </row>
    <row r="215" spans="1:15" ht="27.75" customHeight="1">
      <c r="A215" s="54" t="s">
        <v>353</v>
      </c>
      <c r="B215" s="43" t="s">
        <v>104</v>
      </c>
      <c r="C215" s="33">
        <v>1011</v>
      </c>
      <c r="D215" s="34">
        <f>SUM(D216:D219)</f>
        <v>205.4</v>
      </c>
      <c r="E215" s="117">
        <f>SUM(E216:E219)</f>
        <v>0</v>
      </c>
      <c r="F215" s="117">
        <f>SUM(F216:F219)</f>
        <v>244.60000000000002</v>
      </c>
      <c r="G215" s="35">
        <f t="shared" si="40"/>
        <v>244.60000000000002</v>
      </c>
      <c r="H215" s="273" t="e">
        <f t="shared" si="41"/>
        <v>#DIV/0!</v>
      </c>
    </row>
    <row r="216" spans="1:15" ht="26.25" customHeight="1">
      <c r="A216" s="56"/>
      <c r="B216" s="304" t="s">
        <v>196</v>
      </c>
      <c r="C216" s="306"/>
      <c r="D216" s="301">
        <v>10.6</v>
      </c>
      <c r="E216" s="83"/>
      <c r="F216" s="83"/>
      <c r="G216" s="10">
        <f t="shared" si="40"/>
        <v>0</v>
      </c>
      <c r="H216" s="41" t="e">
        <f t="shared" si="41"/>
        <v>#DIV/0!</v>
      </c>
    </row>
    <row r="217" spans="1:15" ht="27" customHeight="1">
      <c r="A217" s="56"/>
      <c r="B217" s="304" t="s">
        <v>168</v>
      </c>
      <c r="C217" s="306"/>
      <c r="D217" s="301">
        <v>2.7</v>
      </c>
      <c r="E217" s="83"/>
      <c r="F217" s="83">
        <v>0.7</v>
      </c>
      <c r="G217" s="10">
        <f t="shared" si="40"/>
        <v>0.7</v>
      </c>
      <c r="H217" s="41" t="e">
        <f t="shared" si="41"/>
        <v>#DIV/0!</v>
      </c>
      <c r="N217" s="171"/>
      <c r="O217" s="171"/>
    </row>
    <row r="218" spans="1:15" ht="39.75" customHeight="1">
      <c r="A218" s="56"/>
      <c r="B218" s="299" t="s">
        <v>187</v>
      </c>
      <c r="C218" s="306"/>
      <c r="D218" s="301">
        <v>92.9</v>
      </c>
      <c r="E218" s="83"/>
      <c r="F218" s="83">
        <v>29.1</v>
      </c>
      <c r="G218" s="10">
        <f t="shared" si="40"/>
        <v>29.1</v>
      </c>
      <c r="H218" s="41" t="e">
        <f t="shared" si="41"/>
        <v>#DIV/0!</v>
      </c>
    </row>
    <row r="219" spans="1:15" ht="24.75" customHeight="1">
      <c r="A219" s="56"/>
      <c r="B219" s="299" t="s">
        <v>193</v>
      </c>
      <c r="C219" s="306"/>
      <c r="D219" s="301">
        <v>99.2</v>
      </c>
      <c r="E219" s="83"/>
      <c r="F219" s="83">
        <f>214.8</f>
        <v>214.8</v>
      </c>
      <c r="G219" s="10">
        <f t="shared" si="40"/>
        <v>214.8</v>
      </c>
      <c r="H219" s="41" t="e">
        <f t="shared" si="41"/>
        <v>#DIV/0!</v>
      </c>
    </row>
    <row r="220" spans="1:15" ht="24.75" customHeight="1">
      <c r="A220" s="54" t="s">
        <v>354</v>
      </c>
      <c r="B220" s="43" t="s">
        <v>4</v>
      </c>
      <c r="C220" s="51">
        <v>1014</v>
      </c>
      <c r="D220" s="34">
        <v>278.2</v>
      </c>
      <c r="E220" s="117"/>
      <c r="F220" s="117">
        <f>15.7+19.5-14.8</f>
        <v>20.400000000000002</v>
      </c>
      <c r="G220" s="35">
        <f t="shared" si="40"/>
        <v>20.400000000000002</v>
      </c>
      <c r="H220" s="273" t="e">
        <f t="shared" si="41"/>
        <v>#DIV/0!</v>
      </c>
    </row>
    <row r="221" spans="1:15" ht="24.75" customHeight="1">
      <c r="A221" s="54" t="s">
        <v>355</v>
      </c>
      <c r="B221" s="55" t="s">
        <v>96</v>
      </c>
      <c r="C221" s="51">
        <v>1015</v>
      </c>
      <c r="D221" s="34">
        <f>SUM(D222:D231)</f>
        <v>117.2</v>
      </c>
      <c r="E221" s="117">
        <f>SUM(E222:E231)</f>
        <v>0</v>
      </c>
      <c r="F221" s="117">
        <f>SUM(F222:F231)</f>
        <v>66</v>
      </c>
      <c r="G221" s="35">
        <f t="shared" si="40"/>
        <v>66</v>
      </c>
      <c r="H221" s="273" t="e">
        <f t="shared" si="41"/>
        <v>#DIV/0!</v>
      </c>
      <c r="I221" s="15"/>
      <c r="J221" s="21"/>
    </row>
    <row r="222" spans="1:15" ht="24.75" customHeight="1">
      <c r="A222" s="30"/>
      <c r="B222" s="317" t="s">
        <v>145</v>
      </c>
      <c r="C222" s="311"/>
      <c r="D222" s="312">
        <v>1.1000000000000001</v>
      </c>
      <c r="E222" s="83"/>
      <c r="F222" s="83"/>
      <c r="G222" s="10">
        <f t="shared" si="40"/>
        <v>0</v>
      </c>
      <c r="H222" s="41" t="e">
        <f t="shared" si="41"/>
        <v>#DIV/0!</v>
      </c>
    </row>
    <row r="223" spans="1:15" ht="24.75" customHeight="1">
      <c r="A223" s="30"/>
      <c r="B223" s="317" t="s">
        <v>149</v>
      </c>
      <c r="C223" s="318"/>
      <c r="D223" s="312">
        <v>11.4</v>
      </c>
      <c r="E223" s="83"/>
      <c r="F223" s="83">
        <f>6.4+3.2</f>
        <v>9.6000000000000014</v>
      </c>
      <c r="G223" s="10">
        <f t="shared" si="40"/>
        <v>9.6000000000000014</v>
      </c>
      <c r="H223" s="41" t="e">
        <f t="shared" si="41"/>
        <v>#DIV/0!</v>
      </c>
    </row>
    <row r="224" spans="1:15" ht="24.75" customHeight="1">
      <c r="A224" s="30"/>
      <c r="B224" s="317" t="s">
        <v>228</v>
      </c>
      <c r="C224" s="318"/>
      <c r="D224" s="312">
        <v>29.2</v>
      </c>
      <c r="E224" s="83"/>
      <c r="F224" s="83"/>
      <c r="G224" s="10">
        <f t="shared" si="40"/>
        <v>0</v>
      </c>
      <c r="H224" s="41" t="e">
        <f t="shared" si="41"/>
        <v>#DIV/0!</v>
      </c>
    </row>
    <row r="225" spans="1:15" ht="24.75" customHeight="1">
      <c r="A225" s="30"/>
      <c r="B225" s="317" t="s">
        <v>157</v>
      </c>
      <c r="C225" s="318"/>
      <c r="D225" s="312">
        <v>6.6</v>
      </c>
      <c r="E225" s="83"/>
      <c r="F225" s="83">
        <v>6.4</v>
      </c>
      <c r="G225" s="10">
        <f t="shared" si="40"/>
        <v>6.4</v>
      </c>
      <c r="H225" s="41" t="e">
        <f t="shared" si="41"/>
        <v>#DIV/0!</v>
      </c>
      <c r="N225" s="162"/>
      <c r="O225" s="162"/>
    </row>
    <row r="226" spans="1:15" ht="24.75" customHeight="1">
      <c r="A226" s="30"/>
      <c r="B226" s="317" t="s">
        <v>158</v>
      </c>
      <c r="C226" s="318"/>
      <c r="D226" s="312">
        <v>29.2</v>
      </c>
      <c r="E226" s="83"/>
      <c r="F226" s="83">
        <f>11.7</f>
        <v>11.7</v>
      </c>
      <c r="G226" s="10">
        <f t="shared" si="40"/>
        <v>11.7</v>
      </c>
      <c r="H226" s="41" t="e">
        <f t="shared" si="41"/>
        <v>#DIV/0!</v>
      </c>
    </row>
    <row r="227" spans="1:15" ht="24.75" customHeight="1">
      <c r="A227" s="30"/>
      <c r="B227" s="317" t="s">
        <v>269</v>
      </c>
      <c r="C227" s="318"/>
      <c r="D227" s="312">
        <v>0.4</v>
      </c>
      <c r="E227" s="83"/>
      <c r="F227" s="83">
        <v>0.3</v>
      </c>
      <c r="G227" s="10">
        <f t="shared" si="40"/>
        <v>0.3</v>
      </c>
      <c r="H227" s="41" t="e">
        <f t="shared" si="41"/>
        <v>#DIV/0!</v>
      </c>
      <c r="N227" s="162"/>
      <c r="O227" s="162"/>
    </row>
    <row r="228" spans="1:15" ht="24.75" customHeight="1">
      <c r="A228" s="30"/>
      <c r="B228" s="317" t="s">
        <v>156</v>
      </c>
      <c r="C228" s="318"/>
      <c r="D228" s="312">
        <v>2.2999999999999998</v>
      </c>
      <c r="E228" s="83"/>
      <c r="F228" s="83">
        <f>2.8+2</f>
        <v>4.8</v>
      </c>
      <c r="G228" s="10">
        <f t="shared" si="40"/>
        <v>4.8</v>
      </c>
      <c r="H228" s="41" t="e">
        <f t="shared" si="41"/>
        <v>#DIV/0!</v>
      </c>
    </row>
    <row r="229" spans="1:15" ht="24.75" customHeight="1">
      <c r="A229" s="30"/>
      <c r="B229" s="317" t="s">
        <v>202</v>
      </c>
      <c r="C229" s="318"/>
      <c r="D229" s="312">
        <v>1.2</v>
      </c>
      <c r="E229" s="83"/>
      <c r="F229" s="83"/>
      <c r="G229" s="10">
        <f t="shared" si="40"/>
        <v>0</v>
      </c>
      <c r="H229" s="41" t="e">
        <f t="shared" si="41"/>
        <v>#DIV/0!</v>
      </c>
      <c r="N229" s="162"/>
      <c r="O229" s="162"/>
    </row>
    <row r="230" spans="1:15" ht="24.75" customHeight="1">
      <c r="A230" s="30"/>
      <c r="B230" s="317" t="s">
        <v>148</v>
      </c>
      <c r="C230" s="318"/>
      <c r="D230" s="312">
        <v>9.3000000000000007</v>
      </c>
      <c r="E230" s="83"/>
      <c r="F230" s="83">
        <v>11.2</v>
      </c>
      <c r="G230" s="10">
        <f t="shared" si="40"/>
        <v>11.2</v>
      </c>
      <c r="H230" s="41" t="e">
        <f t="shared" si="41"/>
        <v>#DIV/0!</v>
      </c>
    </row>
    <row r="231" spans="1:15" ht="24.75" customHeight="1">
      <c r="A231" s="30"/>
      <c r="B231" s="317" t="s">
        <v>201</v>
      </c>
      <c r="C231" s="318"/>
      <c r="D231" s="312">
        <v>26.5</v>
      </c>
      <c r="E231" s="83"/>
      <c r="F231" s="83">
        <v>22</v>
      </c>
      <c r="G231" s="10">
        <f t="shared" si="40"/>
        <v>22</v>
      </c>
      <c r="H231" s="41" t="e">
        <f t="shared" si="41"/>
        <v>#DIV/0!</v>
      </c>
    </row>
    <row r="232" spans="1:15" ht="24.75" customHeight="1">
      <c r="A232" s="30" t="s">
        <v>356</v>
      </c>
      <c r="B232" s="86" t="s">
        <v>91</v>
      </c>
      <c r="C232" s="89">
        <v>1020</v>
      </c>
      <c r="D232" s="9">
        <f>D233+D236</f>
        <v>150.30000000000001</v>
      </c>
      <c r="E232" s="167">
        <f>E233+E236</f>
        <v>0</v>
      </c>
      <c r="F232" s="167">
        <f>F233+F236</f>
        <v>178.7</v>
      </c>
      <c r="G232" s="14">
        <f t="shared" si="40"/>
        <v>178.7</v>
      </c>
      <c r="H232" s="274" t="e">
        <f t="shared" si="41"/>
        <v>#DIV/0!</v>
      </c>
      <c r="I232" s="15"/>
    </row>
    <row r="233" spans="1:15" ht="24.75" customHeight="1">
      <c r="A233" s="54" t="s">
        <v>357</v>
      </c>
      <c r="B233" s="53" t="s">
        <v>104</v>
      </c>
      <c r="C233" s="51">
        <v>1021</v>
      </c>
      <c r="D233" s="34">
        <f>SUM(D234:D235)</f>
        <v>27</v>
      </c>
      <c r="E233" s="117">
        <f>E234</f>
        <v>0</v>
      </c>
      <c r="F233" s="117">
        <f>F234</f>
        <v>0</v>
      </c>
      <c r="G233" s="35">
        <f t="shared" si="40"/>
        <v>0</v>
      </c>
      <c r="H233" s="273" t="e">
        <f t="shared" si="41"/>
        <v>#DIV/0!</v>
      </c>
    </row>
    <row r="234" spans="1:15" ht="24.75" customHeight="1">
      <c r="A234" s="30"/>
      <c r="B234" s="361" t="s">
        <v>193</v>
      </c>
      <c r="C234" s="352"/>
      <c r="D234" s="353">
        <v>22.3</v>
      </c>
      <c r="E234" s="83"/>
      <c r="F234" s="83"/>
      <c r="G234" s="10">
        <f t="shared" si="40"/>
        <v>0</v>
      </c>
      <c r="H234" s="41" t="e">
        <f t="shared" si="41"/>
        <v>#DIV/0!</v>
      </c>
    </row>
    <row r="235" spans="1:15" ht="51.75" customHeight="1">
      <c r="A235" s="30"/>
      <c r="B235" s="351" t="s">
        <v>187</v>
      </c>
      <c r="C235" s="352"/>
      <c r="D235" s="353">
        <v>4.7</v>
      </c>
      <c r="E235" s="83"/>
      <c r="F235" s="83"/>
      <c r="G235" s="10">
        <f t="shared" si="40"/>
        <v>0</v>
      </c>
      <c r="H235" s="41" t="e">
        <f t="shared" si="41"/>
        <v>#DIV/0!</v>
      </c>
      <c r="N235" s="162"/>
      <c r="O235" s="162"/>
    </row>
    <row r="236" spans="1:15" ht="25.5" customHeight="1">
      <c r="A236" s="54" t="s">
        <v>358</v>
      </c>
      <c r="B236" s="43" t="s">
        <v>167</v>
      </c>
      <c r="C236" s="33">
        <v>1025</v>
      </c>
      <c r="D236" s="34">
        <f>SUM(D237:D246)</f>
        <v>123.3</v>
      </c>
      <c r="E236" s="117">
        <f>SUM(E237:E246)</f>
        <v>0</v>
      </c>
      <c r="F236" s="117">
        <f>SUM(F237:F246)</f>
        <v>178.7</v>
      </c>
      <c r="G236" s="35">
        <f t="shared" si="40"/>
        <v>178.7</v>
      </c>
      <c r="H236" s="273" t="e">
        <f t="shared" si="41"/>
        <v>#DIV/0!</v>
      </c>
    </row>
    <row r="237" spans="1:15" ht="24.75" customHeight="1">
      <c r="A237" s="30"/>
      <c r="B237" s="365" t="s">
        <v>149</v>
      </c>
      <c r="C237" s="366"/>
      <c r="D237" s="364">
        <v>2.9</v>
      </c>
      <c r="E237" s="83"/>
      <c r="F237" s="83">
        <v>2.1</v>
      </c>
      <c r="G237" s="10">
        <f t="shared" si="40"/>
        <v>2.1</v>
      </c>
      <c r="H237" s="41" t="e">
        <f t="shared" si="41"/>
        <v>#DIV/0!</v>
      </c>
    </row>
    <row r="238" spans="1:15" ht="40.5" customHeight="1">
      <c r="A238" s="30"/>
      <c r="B238" s="362" t="s">
        <v>194</v>
      </c>
      <c r="C238" s="369"/>
      <c r="D238" s="364">
        <v>44.4</v>
      </c>
      <c r="E238" s="83"/>
      <c r="F238" s="83">
        <f>44+25.9</f>
        <v>69.900000000000006</v>
      </c>
      <c r="G238" s="10">
        <f t="shared" si="40"/>
        <v>69.900000000000006</v>
      </c>
      <c r="H238" s="41" t="e">
        <f t="shared" si="41"/>
        <v>#DIV/0!</v>
      </c>
    </row>
    <row r="239" spans="1:15" ht="27.75" customHeight="1">
      <c r="A239" s="30"/>
      <c r="B239" s="362" t="s">
        <v>161</v>
      </c>
      <c r="C239" s="369"/>
      <c r="D239" s="364">
        <v>5.6</v>
      </c>
      <c r="E239" s="83"/>
      <c r="F239" s="83">
        <v>4.5999999999999996</v>
      </c>
      <c r="G239" s="10">
        <f t="shared" si="40"/>
        <v>4.5999999999999996</v>
      </c>
      <c r="H239" s="41" t="e">
        <f t="shared" si="41"/>
        <v>#DIV/0!</v>
      </c>
    </row>
    <row r="240" spans="1:15" ht="24" customHeight="1">
      <c r="A240" s="30"/>
      <c r="B240" s="362" t="s">
        <v>179</v>
      </c>
      <c r="C240" s="369"/>
      <c r="D240" s="364">
        <v>1.1000000000000001</v>
      </c>
      <c r="E240" s="83"/>
      <c r="F240" s="83">
        <v>1.8</v>
      </c>
      <c r="G240" s="10">
        <f t="shared" si="40"/>
        <v>1.8</v>
      </c>
      <c r="H240" s="41" t="e">
        <f t="shared" si="41"/>
        <v>#DIV/0!</v>
      </c>
    </row>
    <row r="241" spans="1:15" ht="24" customHeight="1">
      <c r="A241" s="30"/>
      <c r="B241" s="362" t="s">
        <v>239</v>
      </c>
      <c r="C241" s="369"/>
      <c r="D241" s="364">
        <v>25.8</v>
      </c>
      <c r="E241" s="83"/>
      <c r="F241" s="83">
        <v>10.5</v>
      </c>
      <c r="G241" s="10">
        <f t="shared" si="40"/>
        <v>10.5</v>
      </c>
      <c r="H241" s="41" t="e">
        <f t="shared" si="41"/>
        <v>#DIV/0!</v>
      </c>
    </row>
    <row r="242" spans="1:15" ht="24" customHeight="1">
      <c r="A242" s="30"/>
      <c r="B242" s="362" t="s">
        <v>157</v>
      </c>
      <c r="C242" s="369"/>
      <c r="D242" s="364">
        <v>9</v>
      </c>
      <c r="E242" s="83"/>
      <c r="F242" s="83"/>
      <c r="G242" s="10">
        <f t="shared" si="40"/>
        <v>0</v>
      </c>
      <c r="H242" s="41" t="e">
        <f t="shared" si="41"/>
        <v>#DIV/0!</v>
      </c>
      <c r="N242" s="180"/>
      <c r="O242" s="180"/>
    </row>
    <row r="243" spans="1:15" ht="24" customHeight="1">
      <c r="A243" s="30"/>
      <c r="B243" s="362" t="s">
        <v>202</v>
      </c>
      <c r="C243" s="369"/>
      <c r="D243" s="364">
        <v>5</v>
      </c>
      <c r="E243" s="83"/>
      <c r="F243" s="83"/>
      <c r="G243" s="10">
        <f t="shared" si="40"/>
        <v>0</v>
      </c>
      <c r="H243" s="41" t="e">
        <f t="shared" si="41"/>
        <v>#DIV/0!</v>
      </c>
      <c r="N243" s="162"/>
      <c r="O243" s="162"/>
    </row>
    <row r="244" spans="1:15" ht="24" customHeight="1">
      <c r="A244" s="30"/>
      <c r="B244" s="362" t="s">
        <v>235</v>
      </c>
      <c r="C244" s="366"/>
      <c r="D244" s="364">
        <v>8.5</v>
      </c>
      <c r="E244" s="83"/>
      <c r="F244" s="83">
        <v>42.7</v>
      </c>
      <c r="G244" s="10">
        <f t="shared" si="40"/>
        <v>42.7</v>
      </c>
      <c r="H244" s="41" t="e">
        <f t="shared" si="41"/>
        <v>#DIV/0!</v>
      </c>
    </row>
    <row r="245" spans="1:15" ht="24" customHeight="1">
      <c r="A245" s="30"/>
      <c r="B245" s="362" t="s">
        <v>158</v>
      </c>
      <c r="C245" s="366"/>
      <c r="D245" s="364">
        <v>8.6</v>
      </c>
      <c r="E245" s="83"/>
      <c r="F245" s="83">
        <v>3.6</v>
      </c>
      <c r="G245" s="10">
        <f t="shared" si="40"/>
        <v>3.6</v>
      </c>
      <c r="H245" s="41" t="e">
        <f t="shared" si="41"/>
        <v>#DIV/0!</v>
      </c>
      <c r="N245" s="162"/>
      <c r="O245" s="162"/>
    </row>
    <row r="246" spans="1:15" ht="26.25" customHeight="1">
      <c r="A246" s="30"/>
      <c r="B246" s="362" t="s">
        <v>153</v>
      </c>
      <c r="C246" s="369"/>
      <c r="D246" s="364">
        <v>12.4</v>
      </c>
      <c r="E246" s="83"/>
      <c r="F246" s="83">
        <f>28.7+14.8</f>
        <v>43.5</v>
      </c>
      <c r="G246" s="10">
        <f t="shared" si="40"/>
        <v>43.5</v>
      </c>
      <c r="H246" s="41" t="e">
        <f t="shared" si="41"/>
        <v>#DIV/0!</v>
      </c>
    </row>
    <row r="247" spans="1:15" ht="26.25" customHeight="1">
      <c r="A247" s="30" t="s">
        <v>359</v>
      </c>
      <c r="B247" s="42" t="s">
        <v>229</v>
      </c>
      <c r="C247" s="46">
        <v>1030</v>
      </c>
      <c r="D247" s="9">
        <f>D248</f>
        <v>119.8</v>
      </c>
      <c r="E247" s="167"/>
      <c r="F247" s="167">
        <f>F248</f>
        <v>81.099999999999994</v>
      </c>
      <c r="G247" s="14">
        <f t="shared" si="40"/>
        <v>81.099999999999994</v>
      </c>
      <c r="H247" s="274" t="e">
        <f t="shared" si="41"/>
        <v>#DIV/0!</v>
      </c>
    </row>
    <row r="248" spans="1:15" ht="26.25" customHeight="1">
      <c r="A248" s="54" t="s">
        <v>360</v>
      </c>
      <c r="B248" s="32" t="s">
        <v>229</v>
      </c>
      <c r="C248" s="33">
        <v>1035</v>
      </c>
      <c r="D248" s="34">
        <f>SUM(D249:D250)</f>
        <v>119.8</v>
      </c>
      <c r="E248" s="117"/>
      <c r="F248" s="117">
        <f>F249+F250</f>
        <v>81.099999999999994</v>
      </c>
      <c r="G248" s="35">
        <f t="shared" si="40"/>
        <v>81.099999999999994</v>
      </c>
      <c r="H248" s="273" t="e">
        <f t="shared" si="41"/>
        <v>#DIV/0!</v>
      </c>
    </row>
    <row r="249" spans="1:15" ht="25.5" customHeight="1">
      <c r="A249" s="30"/>
      <c r="B249" s="372" t="s">
        <v>191</v>
      </c>
      <c r="C249" s="375"/>
      <c r="D249" s="374">
        <v>99.5</v>
      </c>
      <c r="E249" s="83"/>
      <c r="F249" s="83">
        <v>81.099999999999994</v>
      </c>
      <c r="G249" s="10">
        <f t="shared" si="40"/>
        <v>81.099999999999994</v>
      </c>
      <c r="H249" s="41" t="e">
        <f t="shared" si="41"/>
        <v>#DIV/0!</v>
      </c>
      <c r="M249" s="219"/>
    </row>
    <row r="250" spans="1:15" ht="27.75" customHeight="1">
      <c r="A250" s="30"/>
      <c r="B250" s="372" t="s">
        <v>222</v>
      </c>
      <c r="C250" s="375"/>
      <c r="D250" s="374">
        <v>20.3</v>
      </c>
      <c r="E250" s="83"/>
      <c r="F250" s="83"/>
      <c r="G250" s="10">
        <f t="shared" si="40"/>
        <v>0</v>
      </c>
      <c r="H250" s="41" t="e">
        <f t="shared" si="41"/>
        <v>#DIV/0!</v>
      </c>
    </row>
    <row r="251" spans="1:15" s="100" customFormat="1" ht="30" customHeight="1">
      <c r="A251" s="108" t="s">
        <v>232</v>
      </c>
      <c r="B251" s="113" t="s">
        <v>197</v>
      </c>
      <c r="C251" s="107"/>
      <c r="D251" s="94">
        <f>D253+D256</f>
        <v>6179.7999999999993</v>
      </c>
      <c r="E251" s="94">
        <f>E253+E256</f>
        <v>4516</v>
      </c>
      <c r="F251" s="94">
        <f>F253+F256</f>
        <v>9952</v>
      </c>
      <c r="G251" s="95">
        <f t="shared" si="40"/>
        <v>5436</v>
      </c>
      <c r="H251" s="95">
        <f t="shared" si="41"/>
        <v>220.37201062887513</v>
      </c>
      <c r="J251" s="97"/>
      <c r="K251" s="105"/>
      <c r="N251" s="106"/>
      <c r="O251" s="106"/>
    </row>
    <row r="252" spans="1:15" ht="27.75" customHeight="1">
      <c r="A252" s="30"/>
      <c r="B252" s="29" t="s">
        <v>85</v>
      </c>
      <c r="C252" s="46"/>
      <c r="D252" s="13"/>
      <c r="E252" s="83"/>
      <c r="F252" s="83"/>
      <c r="G252" s="10"/>
      <c r="H252" s="10"/>
    </row>
    <row r="253" spans="1:15" ht="27.75" customHeight="1">
      <c r="A253" s="30" t="s">
        <v>361</v>
      </c>
      <c r="B253" s="87" t="s">
        <v>89</v>
      </c>
      <c r="C253" s="46">
        <v>1010</v>
      </c>
      <c r="D253" s="9">
        <f t="shared" ref="D253:F254" si="42">D254</f>
        <v>5704.4</v>
      </c>
      <c r="E253" s="167">
        <f t="shared" si="42"/>
        <v>4280</v>
      </c>
      <c r="F253" s="167">
        <f t="shared" si="42"/>
        <v>5721.2000000000007</v>
      </c>
      <c r="G253" s="14">
        <f t="shared" si="40"/>
        <v>1441.2000000000007</v>
      </c>
      <c r="H253" s="14">
        <f t="shared" si="41"/>
        <v>133.67289719626169</v>
      </c>
      <c r="I253" s="79"/>
      <c r="J253" s="21"/>
      <c r="K253" s="21"/>
    </row>
    <row r="254" spans="1:15" ht="27.75" customHeight="1">
      <c r="A254" s="54" t="s">
        <v>265</v>
      </c>
      <c r="B254" s="55" t="s">
        <v>4</v>
      </c>
      <c r="C254" s="33">
        <v>1014</v>
      </c>
      <c r="D254" s="34">
        <f t="shared" si="42"/>
        <v>5704.4</v>
      </c>
      <c r="E254" s="117">
        <f t="shared" si="42"/>
        <v>4280</v>
      </c>
      <c r="F254" s="117">
        <f t="shared" si="42"/>
        <v>5721.2000000000007</v>
      </c>
      <c r="G254" s="35">
        <f t="shared" si="40"/>
        <v>1441.2000000000007</v>
      </c>
      <c r="H254" s="35">
        <f t="shared" si="41"/>
        <v>133.67289719626169</v>
      </c>
    </row>
    <row r="255" spans="1:15" ht="24.75" customHeight="1">
      <c r="A255" s="30"/>
      <c r="B255" s="62" t="s">
        <v>198</v>
      </c>
      <c r="C255" s="46"/>
      <c r="D255" s="13">
        <v>5704.4</v>
      </c>
      <c r="E255" s="83">
        <v>4280</v>
      </c>
      <c r="F255" s="83">
        <f>7961.6-2240.4</f>
        <v>5721.2000000000007</v>
      </c>
      <c r="G255" s="10">
        <f t="shared" si="40"/>
        <v>1441.2000000000007</v>
      </c>
      <c r="H255" s="10">
        <f t="shared" si="41"/>
        <v>133.67289719626169</v>
      </c>
      <c r="I255" s="15"/>
    </row>
    <row r="256" spans="1:15" ht="27.75" customHeight="1">
      <c r="A256" s="30" t="s">
        <v>266</v>
      </c>
      <c r="B256" s="87" t="s">
        <v>91</v>
      </c>
      <c r="C256" s="46">
        <v>1020</v>
      </c>
      <c r="D256" s="9">
        <f t="shared" ref="D256:F257" si="43">D257</f>
        <v>475.4</v>
      </c>
      <c r="E256" s="167">
        <f>E257</f>
        <v>236</v>
      </c>
      <c r="F256" s="167">
        <f t="shared" si="43"/>
        <v>4230.8</v>
      </c>
      <c r="G256" s="14">
        <f t="shared" si="40"/>
        <v>3994.8</v>
      </c>
      <c r="H256" s="14">
        <f t="shared" si="41"/>
        <v>1792.7118644067796</v>
      </c>
      <c r="I256" s="15"/>
    </row>
    <row r="257" spans="1:15" ht="27.75" customHeight="1">
      <c r="A257" s="54" t="s">
        <v>362</v>
      </c>
      <c r="B257" s="55" t="s">
        <v>4</v>
      </c>
      <c r="C257" s="33">
        <v>1024</v>
      </c>
      <c r="D257" s="34">
        <f t="shared" si="43"/>
        <v>475.4</v>
      </c>
      <c r="E257" s="117">
        <f t="shared" si="43"/>
        <v>236</v>
      </c>
      <c r="F257" s="117">
        <f t="shared" si="43"/>
        <v>4230.8</v>
      </c>
      <c r="G257" s="35">
        <f t="shared" si="40"/>
        <v>3994.8</v>
      </c>
      <c r="H257" s="35">
        <f t="shared" si="41"/>
        <v>1792.7118644067796</v>
      </c>
    </row>
    <row r="258" spans="1:15" ht="27.75" customHeight="1">
      <c r="A258" s="18"/>
      <c r="B258" s="62" t="s">
        <v>223</v>
      </c>
      <c r="C258" s="3"/>
      <c r="D258" s="63">
        <v>475.4</v>
      </c>
      <c r="E258" s="176">
        <v>236</v>
      </c>
      <c r="F258" s="176">
        <f>1990.4+2240.4</f>
        <v>4230.8</v>
      </c>
      <c r="G258" s="18">
        <f t="shared" si="40"/>
        <v>3994.8</v>
      </c>
      <c r="H258" s="66">
        <f t="shared" si="41"/>
        <v>1792.7118644067796</v>
      </c>
    </row>
    <row r="259" spans="1:15" ht="63.75" customHeight="1">
      <c r="B259" s="64" t="s">
        <v>205</v>
      </c>
      <c r="C259" s="23"/>
      <c r="D259" s="542"/>
      <c r="E259" s="542"/>
      <c r="F259" s="534" t="s">
        <v>180</v>
      </c>
      <c r="G259" s="534"/>
      <c r="H259" s="534"/>
    </row>
    <row r="260" spans="1:15" ht="34.5" customHeight="1">
      <c r="B260" s="88"/>
      <c r="C260" s="1"/>
      <c r="D260" s="538" t="s">
        <v>65</v>
      </c>
      <c r="E260" s="538"/>
      <c r="F260" s="535" t="s">
        <v>17</v>
      </c>
      <c r="G260" s="535"/>
      <c r="H260" s="535"/>
    </row>
    <row r="261" spans="1:15" ht="29.25" customHeight="1">
      <c r="B261" s="6"/>
      <c r="D261" s="75"/>
      <c r="E261" s="177"/>
      <c r="F261" s="177"/>
    </row>
    <row r="262" spans="1:15" ht="35.25" customHeight="1">
      <c r="B262" s="6"/>
      <c r="D262" s="75"/>
      <c r="E262" s="177"/>
      <c r="F262" s="177"/>
    </row>
    <row r="263" spans="1:15" ht="35.25" customHeight="1">
      <c r="B263" s="6"/>
      <c r="D263" s="75"/>
      <c r="E263" s="177"/>
      <c r="F263" s="177"/>
    </row>
    <row r="264" spans="1:15" s="4" customFormat="1" ht="39" customHeight="1">
      <c r="A264" s="1"/>
      <c r="B264" s="6"/>
      <c r="C264" s="88"/>
      <c r="D264" s="75"/>
      <c r="E264" s="177"/>
      <c r="F264" s="177"/>
      <c r="G264" s="1"/>
      <c r="H264" s="1"/>
      <c r="J264" s="72"/>
      <c r="N264" s="65"/>
      <c r="O264" s="65"/>
    </row>
    <row r="265" spans="1:15" s="4" customFormat="1" ht="32.25" customHeight="1">
      <c r="A265" s="1"/>
      <c r="B265" s="6"/>
      <c r="C265" s="88"/>
      <c r="D265" s="75"/>
      <c r="E265" s="177"/>
      <c r="F265" s="177"/>
      <c r="G265" s="1"/>
      <c r="H265" s="1"/>
      <c r="J265" s="72"/>
      <c r="N265" s="65"/>
      <c r="O265" s="65"/>
    </row>
    <row r="266" spans="1:15" s="4" customFormat="1" ht="31.5" customHeight="1">
      <c r="A266" s="1"/>
      <c r="B266" s="6"/>
      <c r="C266" s="88"/>
      <c r="D266" s="75"/>
      <c r="E266" s="177"/>
      <c r="F266" s="177"/>
      <c r="G266" s="1"/>
      <c r="H266" s="1"/>
      <c r="J266" s="72"/>
      <c r="N266" s="65"/>
      <c r="O266" s="65"/>
    </row>
    <row r="267" spans="1:15" s="4" customFormat="1" ht="31.5" customHeight="1">
      <c r="A267" s="1"/>
      <c r="B267" s="6"/>
      <c r="C267" s="88"/>
      <c r="D267" s="75"/>
      <c r="E267" s="177"/>
      <c r="F267" s="177"/>
      <c r="G267" s="1"/>
      <c r="H267" s="1"/>
      <c r="J267" s="72"/>
      <c r="N267" s="65"/>
      <c r="O267" s="65"/>
    </row>
    <row r="268" spans="1:15" s="4" customFormat="1" ht="29.25" customHeight="1">
      <c r="A268" s="1"/>
      <c r="B268" s="6"/>
      <c r="C268" s="88"/>
      <c r="D268" s="75"/>
      <c r="E268" s="177"/>
      <c r="F268" s="177"/>
      <c r="G268" s="1"/>
      <c r="H268" s="1"/>
      <c r="J268" s="72"/>
      <c r="N268" s="65"/>
      <c r="O268" s="65"/>
    </row>
    <row r="269" spans="1:15" s="4" customFormat="1" ht="35.25" customHeight="1">
      <c r="A269" s="1"/>
      <c r="B269" s="6"/>
      <c r="C269" s="88"/>
      <c r="D269" s="75"/>
      <c r="E269" s="177"/>
      <c r="F269" s="177"/>
      <c r="G269" s="1"/>
      <c r="H269" s="1"/>
      <c r="J269" s="72"/>
      <c r="N269" s="65"/>
      <c r="O269" s="65"/>
    </row>
    <row r="270" spans="1:15" s="4" customFormat="1" ht="41.25" customHeight="1">
      <c r="A270" s="1"/>
      <c r="B270" s="6"/>
      <c r="C270" s="88"/>
      <c r="D270" s="75"/>
      <c r="E270" s="177"/>
      <c r="F270" s="177"/>
      <c r="G270" s="1"/>
      <c r="H270" s="1"/>
      <c r="J270" s="72"/>
      <c r="N270" s="65"/>
      <c r="O270" s="65"/>
    </row>
    <row r="271" spans="1:15" s="4" customFormat="1" ht="35.25" customHeight="1">
      <c r="A271" s="1"/>
      <c r="B271" s="6"/>
      <c r="C271" s="88"/>
      <c r="D271" s="75"/>
      <c r="E271" s="177"/>
      <c r="F271" s="177"/>
      <c r="G271" s="1"/>
      <c r="H271" s="1"/>
      <c r="J271" s="72"/>
      <c r="N271" s="65"/>
      <c r="O271" s="65"/>
    </row>
    <row r="272" spans="1:15" s="4" customFormat="1" ht="41.25" customHeight="1">
      <c r="A272" s="1"/>
      <c r="B272" s="6"/>
      <c r="C272" s="88"/>
      <c r="D272" s="75"/>
      <c r="E272" s="177"/>
      <c r="F272" s="177"/>
      <c r="G272" s="1"/>
      <c r="H272" s="1"/>
      <c r="J272" s="72"/>
      <c r="N272" s="65"/>
      <c r="O272" s="65"/>
    </row>
    <row r="273" spans="1:15" s="4" customFormat="1" ht="37.5" customHeight="1">
      <c r="A273" s="1"/>
      <c r="B273" s="6"/>
      <c r="C273" s="88"/>
      <c r="D273" s="75"/>
      <c r="E273" s="177"/>
      <c r="F273" s="177"/>
      <c r="G273" s="1"/>
      <c r="H273" s="1"/>
      <c r="J273" s="72"/>
      <c r="N273" s="65"/>
      <c r="O273" s="65"/>
    </row>
    <row r="274" spans="1:15" s="4" customFormat="1" ht="37.5" customHeight="1">
      <c r="A274" s="1"/>
      <c r="B274" s="6"/>
      <c r="C274" s="88"/>
      <c r="D274" s="75"/>
      <c r="E274" s="177"/>
      <c r="F274" s="177"/>
      <c r="G274" s="1"/>
      <c r="H274" s="1"/>
      <c r="J274" s="72"/>
      <c r="N274" s="65"/>
      <c r="O274" s="65"/>
    </row>
    <row r="275" spans="1:15" s="4" customFormat="1" ht="39" customHeight="1">
      <c r="A275" s="1"/>
      <c r="B275" s="6"/>
      <c r="C275" s="88"/>
      <c r="D275" s="75"/>
      <c r="E275" s="177"/>
      <c r="F275" s="177"/>
      <c r="G275" s="1"/>
      <c r="H275" s="1"/>
      <c r="J275" s="72"/>
      <c r="N275" s="65"/>
      <c r="O275" s="65"/>
    </row>
    <row r="276" spans="1:15" s="4" customFormat="1" ht="35.25" customHeight="1">
      <c r="A276" s="1"/>
      <c r="B276" s="6"/>
      <c r="C276" s="88"/>
      <c r="D276" s="75"/>
      <c r="E276" s="177"/>
      <c r="F276" s="177"/>
      <c r="G276" s="1"/>
      <c r="H276" s="1"/>
      <c r="J276" s="72"/>
      <c r="N276" s="65"/>
      <c r="O276" s="65"/>
    </row>
    <row r="277" spans="1:15" s="4" customFormat="1" ht="37.5" customHeight="1">
      <c r="A277" s="1"/>
      <c r="B277" s="6"/>
      <c r="C277" s="88"/>
      <c r="D277" s="75"/>
      <c r="E277" s="177"/>
      <c r="F277" s="177"/>
      <c r="G277" s="1"/>
      <c r="H277" s="1"/>
      <c r="J277" s="72"/>
      <c r="N277" s="65"/>
      <c r="O277" s="65"/>
    </row>
    <row r="278" spans="1:15" s="4" customFormat="1" ht="31.5" customHeight="1">
      <c r="A278" s="1"/>
      <c r="B278" s="6"/>
      <c r="C278" s="88"/>
      <c r="D278" s="75"/>
      <c r="E278" s="177"/>
      <c r="F278" s="177"/>
      <c r="G278" s="1"/>
      <c r="H278" s="1"/>
      <c r="J278" s="72"/>
      <c r="N278" s="65"/>
      <c r="O278" s="65"/>
    </row>
    <row r="279" spans="1:15" s="4" customFormat="1" ht="31.5" customHeight="1">
      <c r="A279" s="1"/>
      <c r="B279" s="6"/>
      <c r="C279" s="88"/>
      <c r="D279" s="75"/>
      <c r="E279" s="177"/>
      <c r="F279" s="177"/>
      <c r="G279" s="1"/>
      <c r="H279" s="1"/>
      <c r="J279" s="72"/>
      <c r="N279" s="65"/>
      <c r="O279" s="65"/>
    </row>
    <row r="280" spans="1:15">
      <c r="B280" s="6"/>
      <c r="D280" s="75"/>
      <c r="E280" s="177"/>
      <c r="F280" s="177"/>
    </row>
    <row r="281" spans="1:15" ht="24.75" customHeight="1">
      <c r="B281" s="6"/>
      <c r="D281" s="75"/>
      <c r="E281" s="177"/>
      <c r="F281" s="177"/>
    </row>
    <row r="282" spans="1:15">
      <c r="B282" s="6"/>
      <c r="D282" s="75"/>
      <c r="E282" s="177"/>
      <c r="F282" s="177"/>
    </row>
    <row r="283" spans="1:15">
      <c r="B283" s="6"/>
      <c r="D283" s="75"/>
      <c r="E283" s="177"/>
      <c r="F283" s="177"/>
    </row>
    <row r="284" spans="1:15">
      <c r="B284" s="6"/>
      <c r="D284" s="75"/>
      <c r="E284" s="177"/>
      <c r="F284" s="177"/>
    </row>
    <row r="285" spans="1:15">
      <c r="B285" s="6"/>
      <c r="D285" s="75"/>
      <c r="E285" s="177"/>
      <c r="F285" s="177"/>
    </row>
    <row r="286" spans="1:15">
      <c r="B286" s="6"/>
      <c r="D286" s="75"/>
      <c r="E286" s="177"/>
      <c r="F286" s="177"/>
    </row>
    <row r="287" spans="1:15">
      <c r="B287" s="6"/>
      <c r="D287" s="75"/>
      <c r="E287" s="177"/>
      <c r="F287" s="177"/>
    </row>
    <row r="288" spans="1:15">
      <c r="B288" s="6"/>
      <c r="D288" s="75"/>
      <c r="E288" s="177"/>
      <c r="F288" s="177"/>
    </row>
    <row r="289" spans="2:6">
      <c r="B289" s="6"/>
      <c r="D289" s="75"/>
      <c r="E289" s="177"/>
      <c r="F289" s="177"/>
    </row>
    <row r="290" spans="2:6">
      <c r="B290" s="6"/>
      <c r="D290" s="75"/>
      <c r="E290" s="177"/>
      <c r="F290" s="177"/>
    </row>
    <row r="291" spans="2:6">
      <c r="B291" s="6"/>
      <c r="D291" s="75"/>
      <c r="E291" s="177"/>
      <c r="F291" s="177"/>
    </row>
    <row r="292" spans="2:6">
      <c r="B292" s="6"/>
      <c r="D292" s="75"/>
      <c r="E292" s="177"/>
      <c r="F292" s="177"/>
    </row>
    <row r="293" spans="2:6">
      <c r="B293" s="6"/>
      <c r="D293" s="75"/>
      <c r="E293" s="177"/>
      <c r="F293" s="177"/>
    </row>
    <row r="294" spans="2:6">
      <c r="B294" s="6"/>
      <c r="D294" s="75"/>
      <c r="E294" s="177"/>
      <c r="F294" s="177"/>
    </row>
    <row r="295" spans="2:6">
      <c r="B295" s="6"/>
      <c r="D295" s="75"/>
      <c r="E295" s="177"/>
      <c r="F295" s="177"/>
    </row>
    <row r="296" spans="2:6">
      <c r="B296" s="6"/>
      <c r="D296" s="75"/>
      <c r="E296" s="177"/>
      <c r="F296" s="177"/>
    </row>
    <row r="297" spans="2:6">
      <c r="B297" s="6"/>
      <c r="D297" s="75"/>
      <c r="E297" s="177"/>
      <c r="F297" s="177"/>
    </row>
    <row r="298" spans="2:6">
      <c r="B298" s="6"/>
      <c r="D298" s="75"/>
      <c r="E298" s="177"/>
      <c r="F298" s="177"/>
    </row>
    <row r="299" spans="2:6">
      <c r="B299" s="6"/>
      <c r="D299" s="75"/>
      <c r="E299" s="177"/>
      <c r="F299" s="177"/>
    </row>
    <row r="300" spans="2:6">
      <c r="B300" s="6"/>
      <c r="D300" s="75"/>
      <c r="E300" s="177"/>
      <c r="F300" s="177"/>
    </row>
    <row r="301" spans="2:6">
      <c r="B301" s="6"/>
      <c r="D301" s="75"/>
      <c r="E301" s="177"/>
      <c r="F301" s="177"/>
    </row>
    <row r="302" spans="2:6">
      <c r="B302" s="6"/>
      <c r="D302" s="75"/>
      <c r="E302" s="177"/>
      <c r="F302" s="177"/>
    </row>
    <row r="303" spans="2:6">
      <c r="B303" s="6"/>
      <c r="D303" s="75"/>
      <c r="E303" s="177"/>
      <c r="F303" s="177"/>
    </row>
    <row r="304" spans="2:6">
      <c r="B304" s="6"/>
      <c r="D304" s="75"/>
      <c r="E304" s="177"/>
      <c r="F304" s="177"/>
    </row>
    <row r="305" spans="2:6">
      <c r="B305" s="6"/>
      <c r="D305" s="75"/>
      <c r="E305" s="177"/>
      <c r="F305" s="177"/>
    </row>
    <row r="306" spans="2:6">
      <c r="B306" s="6"/>
      <c r="D306" s="75"/>
      <c r="E306" s="177"/>
      <c r="F306" s="177"/>
    </row>
    <row r="307" spans="2:6">
      <c r="B307" s="6"/>
      <c r="D307" s="75"/>
      <c r="E307" s="177"/>
      <c r="F307" s="177"/>
    </row>
    <row r="308" spans="2:6">
      <c r="B308" s="6"/>
      <c r="D308" s="75"/>
      <c r="E308" s="177"/>
      <c r="F308" s="177"/>
    </row>
    <row r="309" spans="2:6">
      <c r="B309" s="6"/>
      <c r="D309" s="75"/>
      <c r="E309" s="177"/>
      <c r="F309" s="177"/>
    </row>
    <row r="310" spans="2:6">
      <c r="B310" s="6"/>
      <c r="D310" s="75"/>
      <c r="E310" s="177"/>
      <c r="F310" s="177"/>
    </row>
    <row r="311" spans="2:6">
      <c r="B311" s="6"/>
      <c r="D311" s="75"/>
      <c r="E311" s="177"/>
      <c r="F311" s="177"/>
    </row>
    <row r="312" spans="2:6">
      <c r="B312" s="6"/>
      <c r="D312" s="75"/>
      <c r="E312" s="177"/>
      <c r="F312" s="177"/>
    </row>
    <row r="313" spans="2:6">
      <c r="B313" s="6"/>
      <c r="D313" s="75"/>
      <c r="E313" s="177"/>
      <c r="F313" s="177"/>
    </row>
    <row r="314" spans="2:6">
      <c r="B314" s="6"/>
      <c r="D314" s="75"/>
      <c r="E314" s="177"/>
      <c r="F314" s="177"/>
    </row>
    <row r="315" spans="2:6">
      <c r="B315" s="6"/>
    </row>
    <row r="316" spans="2:6">
      <c r="B316" s="7"/>
    </row>
    <row r="317" spans="2:6">
      <c r="B317" s="7"/>
    </row>
    <row r="318" spans="2:6">
      <c r="B318" s="7"/>
    </row>
    <row r="319" spans="2:6">
      <c r="B319" s="7"/>
    </row>
    <row r="320" spans="2:6">
      <c r="B320" s="7"/>
    </row>
    <row r="321" spans="2:2">
      <c r="B321" s="7"/>
    </row>
    <row r="322" spans="2:2">
      <c r="B322" s="7"/>
    </row>
    <row r="323" spans="2:2">
      <c r="B323" s="7"/>
    </row>
    <row r="324" spans="2:2">
      <c r="B324" s="7"/>
    </row>
    <row r="325" spans="2:2">
      <c r="B325" s="7"/>
    </row>
    <row r="326" spans="2:2">
      <c r="B326" s="7"/>
    </row>
    <row r="327" spans="2:2">
      <c r="B327" s="7"/>
    </row>
    <row r="328" spans="2:2">
      <c r="B328" s="7"/>
    </row>
    <row r="329" spans="2:2">
      <c r="B329" s="7"/>
    </row>
    <row r="330" spans="2:2">
      <c r="B330" s="7"/>
    </row>
    <row r="331" spans="2:2">
      <c r="B331" s="7"/>
    </row>
    <row r="332" spans="2:2">
      <c r="B332" s="7"/>
    </row>
    <row r="333" spans="2:2">
      <c r="B333" s="7"/>
    </row>
    <row r="334" spans="2:2">
      <c r="B334" s="7"/>
    </row>
    <row r="335" spans="2:2">
      <c r="B335" s="7"/>
    </row>
    <row r="336" spans="2:2">
      <c r="B336" s="7"/>
    </row>
    <row r="337" spans="2:2">
      <c r="B337" s="7"/>
    </row>
    <row r="338" spans="2:2">
      <c r="B338" s="7"/>
    </row>
    <row r="339" spans="2:2">
      <c r="B339" s="7"/>
    </row>
    <row r="340" spans="2:2">
      <c r="B340" s="7"/>
    </row>
    <row r="341" spans="2:2">
      <c r="B341" s="7"/>
    </row>
    <row r="342" spans="2:2">
      <c r="B342" s="7"/>
    </row>
    <row r="343" spans="2:2">
      <c r="B343" s="7"/>
    </row>
    <row r="344" spans="2:2">
      <c r="B344" s="7"/>
    </row>
    <row r="345" spans="2:2">
      <c r="B345" s="7"/>
    </row>
    <row r="346" spans="2:2">
      <c r="B346" s="7"/>
    </row>
    <row r="347" spans="2:2">
      <c r="B347" s="7"/>
    </row>
    <row r="348" spans="2:2">
      <c r="B348" s="7"/>
    </row>
    <row r="349" spans="2:2">
      <c r="B349" s="7"/>
    </row>
    <row r="350" spans="2:2">
      <c r="B350" s="7"/>
    </row>
    <row r="351" spans="2:2">
      <c r="B351" s="7"/>
    </row>
    <row r="352" spans="2:2">
      <c r="B352" s="7"/>
    </row>
    <row r="353" spans="2:2">
      <c r="B353" s="7"/>
    </row>
    <row r="354" spans="2:2">
      <c r="B354" s="7"/>
    </row>
    <row r="355" spans="2:2">
      <c r="B355" s="7"/>
    </row>
    <row r="356" spans="2:2">
      <c r="B356" s="7"/>
    </row>
    <row r="357" spans="2:2">
      <c r="B357" s="7"/>
    </row>
    <row r="358" spans="2:2">
      <c r="B358" s="7"/>
    </row>
    <row r="359" spans="2:2">
      <c r="B359" s="7"/>
    </row>
    <row r="360" spans="2:2">
      <c r="B360" s="7"/>
    </row>
    <row r="361" spans="2:2">
      <c r="B361" s="7"/>
    </row>
    <row r="362" spans="2:2">
      <c r="B362" s="7"/>
    </row>
    <row r="363" spans="2:2">
      <c r="B363" s="7"/>
    </row>
    <row r="364" spans="2:2">
      <c r="B364" s="7"/>
    </row>
    <row r="365" spans="2:2">
      <c r="B365" s="7"/>
    </row>
    <row r="366" spans="2:2">
      <c r="B366" s="7"/>
    </row>
    <row r="367" spans="2:2">
      <c r="B367" s="7"/>
    </row>
    <row r="368" spans="2:2">
      <c r="B368" s="7"/>
    </row>
    <row r="369" spans="2:2">
      <c r="B369" s="7"/>
    </row>
    <row r="370" spans="2:2">
      <c r="B370" s="7"/>
    </row>
    <row r="371" spans="2:2">
      <c r="B371" s="7"/>
    </row>
    <row r="372" spans="2:2">
      <c r="B372" s="7"/>
    </row>
    <row r="373" spans="2:2">
      <c r="B373" s="7"/>
    </row>
    <row r="374" spans="2:2">
      <c r="B374" s="7"/>
    </row>
    <row r="375" spans="2:2">
      <c r="B375" s="7"/>
    </row>
    <row r="376" spans="2:2">
      <c r="B376" s="7"/>
    </row>
    <row r="377" spans="2:2">
      <c r="B377" s="7"/>
    </row>
    <row r="378" spans="2:2">
      <c r="B378" s="7"/>
    </row>
    <row r="379" spans="2:2">
      <c r="B379" s="7"/>
    </row>
    <row r="380" spans="2:2">
      <c r="B380" s="7"/>
    </row>
    <row r="381" spans="2:2">
      <c r="B381" s="7"/>
    </row>
    <row r="382" spans="2:2">
      <c r="B382" s="7"/>
    </row>
    <row r="383" spans="2:2">
      <c r="B383" s="7"/>
    </row>
    <row r="384" spans="2:2">
      <c r="B384" s="7"/>
    </row>
    <row r="385" spans="2:2">
      <c r="B385" s="7"/>
    </row>
    <row r="386" spans="2:2">
      <c r="B386" s="7"/>
    </row>
    <row r="387" spans="2:2">
      <c r="B387" s="7"/>
    </row>
    <row r="388" spans="2:2">
      <c r="B388" s="7"/>
    </row>
    <row r="389" spans="2:2">
      <c r="B389" s="7"/>
    </row>
    <row r="390" spans="2:2">
      <c r="B390" s="7"/>
    </row>
    <row r="391" spans="2:2">
      <c r="B391" s="7"/>
    </row>
    <row r="392" spans="2:2">
      <c r="B392" s="7"/>
    </row>
    <row r="393" spans="2:2">
      <c r="B393" s="7"/>
    </row>
    <row r="394" spans="2:2">
      <c r="B394" s="7"/>
    </row>
    <row r="395" spans="2:2">
      <c r="B395" s="7"/>
    </row>
    <row r="396" spans="2:2">
      <c r="B396" s="7"/>
    </row>
    <row r="397" spans="2:2">
      <c r="B397" s="7"/>
    </row>
    <row r="398" spans="2:2">
      <c r="B398" s="7"/>
    </row>
    <row r="399" spans="2:2">
      <c r="B399" s="7"/>
    </row>
    <row r="400" spans="2:2">
      <c r="B400" s="7"/>
    </row>
    <row r="401" spans="2:2">
      <c r="B401" s="7"/>
    </row>
    <row r="402" spans="2:2">
      <c r="B402" s="7"/>
    </row>
    <row r="403" spans="2:2">
      <c r="B403" s="7"/>
    </row>
    <row r="404" spans="2:2">
      <c r="B404" s="7"/>
    </row>
    <row r="405" spans="2:2">
      <c r="B405" s="7"/>
    </row>
    <row r="406" spans="2:2">
      <c r="B406" s="7"/>
    </row>
    <row r="407" spans="2:2">
      <c r="B407" s="7"/>
    </row>
    <row r="408" spans="2:2">
      <c r="B408" s="7"/>
    </row>
    <row r="409" spans="2:2">
      <c r="B409" s="7"/>
    </row>
    <row r="410" spans="2:2">
      <c r="B410" s="7"/>
    </row>
    <row r="411" spans="2:2">
      <c r="B411" s="7"/>
    </row>
    <row r="412" spans="2:2">
      <c r="B412" s="7"/>
    </row>
    <row r="413" spans="2:2">
      <c r="B413" s="7"/>
    </row>
    <row r="414" spans="2:2">
      <c r="B414" s="7"/>
    </row>
    <row r="415" spans="2:2">
      <c r="B415" s="7"/>
    </row>
    <row r="416" spans="2:2">
      <c r="B416" s="7"/>
    </row>
    <row r="417" spans="2:2">
      <c r="B417" s="7"/>
    </row>
    <row r="418" spans="2:2">
      <c r="B418" s="7"/>
    </row>
    <row r="419" spans="2:2">
      <c r="B419" s="7"/>
    </row>
    <row r="420" spans="2:2">
      <c r="B420" s="7"/>
    </row>
    <row r="421" spans="2:2">
      <c r="B421" s="7"/>
    </row>
    <row r="422" spans="2:2">
      <c r="B422" s="7"/>
    </row>
    <row r="423" spans="2:2">
      <c r="B423" s="7"/>
    </row>
    <row r="424" spans="2:2">
      <c r="B424" s="7"/>
    </row>
    <row r="425" spans="2:2">
      <c r="B425" s="7"/>
    </row>
    <row r="426" spans="2:2">
      <c r="B426" s="7"/>
    </row>
    <row r="427" spans="2:2">
      <c r="B427" s="7"/>
    </row>
    <row r="428" spans="2:2">
      <c r="B428" s="7"/>
    </row>
    <row r="429" spans="2:2">
      <c r="B429" s="7"/>
    </row>
    <row r="430" spans="2:2">
      <c r="B430" s="7"/>
    </row>
    <row r="431" spans="2:2">
      <c r="B431" s="7"/>
    </row>
    <row r="432" spans="2:2">
      <c r="B432" s="7"/>
    </row>
    <row r="433" spans="2:2">
      <c r="B433" s="7"/>
    </row>
    <row r="434" spans="2:2">
      <c r="B434" s="7"/>
    </row>
    <row r="435" spans="2:2">
      <c r="B435" s="7"/>
    </row>
    <row r="436" spans="2:2">
      <c r="B436" s="7"/>
    </row>
    <row r="437" spans="2:2">
      <c r="B437" s="7"/>
    </row>
    <row r="438" spans="2:2">
      <c r="B438" s="7"/>
    </row>
    <row r="439" spans="2:2">
      <c r="B439" s="7"/>
    </row>
    <row r="440" spans="2:2">
      <c r="B440" s="7"/>
    </row>
    <row r="441" spans="2:2">
      <c r="B441" s="7"/>
    </row>
    <row r="442" spans="2:2">
      <c r="B442" s="7"/>
    </row>
    <row r="443" spans="2:2">
      <c r="B443" s="7"/>
    </row>
    <row r="444" spans="2:2">
      <c r="B444" s="7"/>
    </row>
    <row r="445" spans="2:2">
      <c r="B445" s="7"/>
    </row>
    <row r="446" spans="2:2">
      <c r="B446" s="7"/>
    </row>
    <row r="447" spans="2:2">
      <c r="B447" s="7"/>
    </row>
    <row r="448" spans="2:2">
      <c r="B448" s="7"/>
    </row>
    <row r="449" spans="2:2">
      <c r="B449" s="7"/>
    </row>
    <row r="450" spans="2:2">
      <c r="B450" s="7"/>
    </row>
    <row r="451" spans="2:2">
      <c r="B451" s="7"/>
    </row>
    <row r="452" spans="2:2">
      <c r="B452" s="7"/>
    </row>
    <row r="453" spans="2:2">
      <c r="B453" s="7"/>
    </row>
    <row r="454" spans="2:2">
      <c r="B454" s="7"/>
    </row>
    <row r="455" spans="2:2">
      <c r="B455" s="7"/>
    </row>
    <row r="456" spans="2:2">
      <c r="B456" s="7"/>
    </row>
    <row r="457" spans="2:2">
      <c r="B457" s="7"/>
    </row>
    <row r="458" spans="2:2">
      <c r="B458" s="7"/>
    </row>
    <row r="459" spans="2:2">
      <c r="B459" s="7"/>
    </row>
    <row r="460" spans="2:2">
      <c r="B460" s="7"/>
    </row>
    <row r="461" spans="2:2">
      <c r="B461" s="7"/>
    </row>
    <row r="462" spans="2:2">
      <c r="B462" s="7"/>
    </row>
    <row r="463" spans="2:2">
      <c r="B463" s="7"/>
    </row>
    <row r="464" spans="2:2">
      <c r="B464" s="7"/>
    </row>
    <row r="465" spans="2:2">
      <c r="B465" s="7"/>
    </row>
    <row r="466" spans="2:2">
      <c r="B466" s="7"/>
    </row>
    <row r="467" spans="2:2">
      <c r="B467" s="7"/>
    </row>
    <row r="468" spans="2:2">
      <c r="B468" s="7"/>
    </row>
    <row r="469" spans="2:2">
      <c r="B469" s="7"/>
    </row>
    <row r="470" spans="2:2">
      <c r="B470" s="7"/>
    </row>
    <row r="471" spans="2:2">
      <c r="B471" s="7"/>
    </row>
    <row r="472" spans="2:2">
      <c r="B472" s="7"/>
    </row>
    <row r="473" spans="2:2">
      <c r="B473" s="7"/>
    </row>
    <row r="474" spans="2:2">
      <c r="B474" s="7"/>
    </row>
    <row r="475" spans="2:2">
      <c r="B475" s="7"/>
    </row>
    <row r="476" spans="2:2">
      <c r="B476" s="7"/>
    </row>
    <row r="477" spans="2:2">
      <c r="B477" s="7"/>
    </row>
    <row r="478" spans="2:2">
      <c r="B478" s="7"/>
    </row>
    <row r="479" spans="2:2">
      <c r="B479" s="7"/>
    </row>
    <row r="480" spans="2:2">
      <c r="B480" s="7"/>
    </row>
    <row r="481" spans="2:2">
      <c r="B481" s="7"/>
    </row>
    <row r="482" spans="2:2">
      <c r="B482" s="7"/>
    </row>
  </sheetData>
  <mergeCells count="6">
    <mergeCell ref="D259:E259"/>
    <mergeCell ref="D260:E260"/>
    <mergeCell ref="B2:H2"/>
    <mergeCell ref="A6:B6"/>
    <mergeCell ref="F259:H259"/>
    <mergeCell ref="F260:H260"/>
  </mergeCells>
  <pageMargins left="0.39370078740157483" right="0.39370078740157483" top="0.78740157480314965" bottom="0.39370078740157483" header="0.31496062992125984" footer="0.31496062992125984"/>
  <pageSetup paperSize="9" scale="65" fitToHeight="12" orientation="landscape" r:id="rId1"/>
  <rowBreaks count="2" manualBreakCount="2">
    <brk id="54" max="7" man="1"/>
    <brk id="142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2:J435"/>
  <sheetViews>
    <sheetView view="pageBreakPreview" topLeftCell="A70" zoomScale="60" zoomScaleNormal="70" workbookViewId="0">
      <selection activeCell="A86" sqref="A86:A87"/>
    </sheetView>
  </sheetViews>
  <sheetFormatPr defaultRowHeight="26.25" customHeight="1"/>
  <cols>
    <col min="1" max="1" width="66.5703125" style="1" customWidth="1"/>
    <col min="2" max="2" width="12" style="285" customWidth="1"/>
    <col min="3" max="3" width="16.140625" style="285" customWidth="1"/>
    <col min="4" max="4" width="16.7109375" style="285" customWidth="1"/>
    <col min="5" max="5" width="16.140625" style="285" customWidth="1"/>
    <col min="6" max="6" width="18.140625" style="285" customWidth="1"/>
    <col min="7" max="7" width="17.28515625" style="1" customWidth="1"/>
    <col min="8" max="8" width="14.5703125" style="1" bestFit="1" customWidth="1"/>
    <col min="9" max="9" width="23.85546875" style="1" customWidth="1"/>
    <col min="10" max="10" width="15.42578125" style="1" bestFit="1" customWidth="1"/>
    <col min="11" max="16384" width="9.140625" style="1"/>
  </cols>
  <sheetData>
    <row r="2" spans="1:7" ht="26.25" customHeight="1">
      <c r="A2" s="543" t="s">
        <v>679</v>
      </c>
      <c r="B2" s="543"/>
      <c r="C2" s="543"/>
      <c r="D2" s="543"/>
      <c r="E2" s="543"/>
      <c r="F2" s="543"/>
    </row>
    <row r="3" spans="1:7" ht="26.25" customHeight="1">
      <c r="A3" s="286"/>
      <c r="B3" s="2"/>
      <c r="C3" s="286"/>
      <c r="D3" s="286"/>
      <c r="E3" s="286"/>
      <c r="F3" s="2"/>
      <c r="G3" s="1" t="s">
        <v>64</v>
      </c>
    </row>
    <row r="4" spans="1:7" ht="51" customHeight="1">
      <c r="A4" s="329" t="s">
        <v>23</v>
      </c>
      <c r="B4" s="330" t="s">
        <v>5</v>
      </c>
      <c r="C4" s="8" t="s">
        <v>458</v>
      </c>
      <c r="D4" s="8" t="s">
        <v>525</v>
      </c>
      <c r="E4" s="8" t="s">
        <v>460</v>
      </c>
      <c r="F4" s="331" t="s">
        <v>107</v>
      </c>
      <c r="G4" s="332" t="s">
        <v>680</v>
      </c>
    </row>
    <row r="5" spans="1:7" ht="26.25" customHeight="1">
      <c r="A5" s="333">
        <v>1</v>
      </c>
      <c r="B5" s="334">
        <v>2</v>
      </c>
      <c r="C5" s="334">
        <v>3</v>
      </c>
      <c r="D5" s="334">
        <v>4</v>
      </c>
      <c r="E5" s="334">
        <v>5</v>
      </c>
      <c r="F5" s="334">
        <v>6</v>
      </c>
      <c r="G5" s="3">
        <v>7</v>
      </c>
    </row>
    <row r="6" spans="1:7" ht="26.25" customHeight="1">
      <c r="A6" s="392" t="s">
        <v>648</v>
      </c>
      <c r="B6" s="334"/>
      <c r="C6" s="83"/>
      <c r="D6" s="83"/>
      <c r="E6" s="83"/>
      <c r="F6" s="83"/>
      <c r="G6" s="393"/>
    </row>
    <row r="7" spans="1:7" ht="48" customHeight="1">
      <c r="A7" s="335" t="s">
        <v>681</v>
      </c>
      <c r="B7" s="336"/>
      <c r="C7" s="117">
        <f>C8+C11+C13</f>
        <v>143776.4</v>
      </c>
      <c r="D7" s="117">
        <f>D8+D11+D13</f>
        <v>154452.6</v>
      </c>
      <c r="E7" s="117">
        <f>E8+E11+E13</f>
        <v>185141.99999999997</v>
      </c>
      <c r="F7" s="84">
        <f t="shared" ref="F7" si="0">E7-D7</f>
        <v>30689.399999999965</v>
      </c>
      <c r="G7" s="394">
        <f t="shared" ref="G7" si="1">(E7/D7)*100</f>
        <v>119.86978529335211</v>
      </c>
    </row>
    <row r="8" spans="1:7" ht="40.5" customHeight="1">
      <c r="A8" s="383" t="s">
        <v>650</v>
      </c>
      <c r="B8" s="384">
        <v>3010</v>
      </c>
      <c r="C8" s="385">
        <f>SUM(C9:C10)</f>
        <v>123660.1</v>
      </c>
      <c r="D8" s="385">
        <f>SUM(D9:D10)</f>
        <v>137272.9</v>
      </c>
      <c r="E8" s="385">
        <f>SUM(E9:E10)</f>
        <v>160401.79999999999</v>
      </c>
      <c r="F8" s="385">
        <f t="shared" ref="F8:F22" si="2">E8-D8</f>
        <v>23128.899999999994</v>
      </c>
      <c r="G8" s="386">
        <f t="shared" ref="G8:G22" si="3">(E8/D8)*100</f>
        <v>116.84884634913372</v>
      </c>
    </row>
    <row r="9" spans="1:7" ht="38.25" customHeight="1">
      <c r="A9" s="239" t="s">
        <v>181</v>
      </c>
      <c r="B9" s="334"/>
      <c r="C9" s="83">
        <f>'Розшифровка 1 до Формування'!D8</f>
        <v>122146.6</v>
      </c>
      <c r="D9" s="83">
        <f>'Розшифровка 1 до Формування'!E8</f>
        <v>135665.4</v>
      </c>
      <c r="E9" s="83">
        <f>'Розшифровка 1 до Формування'!F8</f>
        <v>159302.9</v>
      </c>
      <c r="F9" s="83">
        <f t="shared" si="2"/>
        <v>23637.5</v>
      </c>
      <c r="G9" s="393">
        <f t="shared" si="3"/>
        <v>117.42338134852366</v>
      </c>
    </row>
    <row r="10" spans="1:7" ht="26.25" customHeight="1">
      <c r="A10" s="12" t="s">
        <v>227</v>
      </c>
      <c r="B10" s="334"/>
      <c r="C10" s="83">
        <f>'Розшифровка 1 до Формування'!D9</f>
        <v>1513.5</v>
      </c>
      <c r="D10" s="83">
        <f>'Розшифровка 1 до Формування'!E9</f>
        <v>1607.5</v>
      </c>
      <c r="E10" s="83">
        <f>'Розшифровка 1 до Формування'!F9</f>
        <v>1098.9000000000001</v>
      </c>
      <c r="F10" s="83">
        <f t="shared" ref="F10" si="4">E10-D10</f>
        <v>-508.59999999999991</v>
      </c>
      <c r="G10" s="393">
        <f t="shared" ref="G10" si="5">(E10/D10)*100</f>
        <v>68.360808709175743</v>
      </c>
    </row>
    <row r="11" spans="1:7" ht="26.25" customHeight="1">
      <c r="A11" s="383" t="s">
        <v>682</v>
      </c>
      <c r="B11" s="384">
        <v>3020</v>
      </c>
      <c r="C11" s="385">
        <f>SUM(C12:C12)</f>
        <v>19136.5</v>
      </c>
      <c r="D11" s="385">
        <f>SUM(D12:D12)</f>
        <v>17083.7</v>
      </c>
      <c r="E11" s="385">
        <f>SUM(E12:E12)</f>
        <v>23942.9</v>
      </c>
      <c r="F11" s="385">
        <f t="shared" si="2"/>
        <v>6859.2000000000007</v>
      </c>
      <c r="G11" s="386">
        <f t="shared" si="3"/>
        <v>140.15055286618238</v>
      </c>
    </row>
    <row r="12" spans="1:7" ht="48" customHeight="1">
      <c r="A12" s="239" t="s">
        <v>683</v>
      </c>
      <c r="B12" s="334"/>
      <c r="C12" s="83">
        <v>19136.5</v>
      </c>
      <c r="D12" s="83">
        <f>'Розшифровка 1 до Формування'!E11</f>
        <v>17083.7</v>
      </c>
      <c r="E12" s="83">
        <v>23942.9</v>
      </c>
      <c r="F12" s="83">
        <f t="shared" si="2"/>
        <v>6859.2000000000007</v>
      </c>
      <c r="G12" s="393">
        <f t="shared" si="3"/>
        <v>140.15055286618238</v>
      </c>
    </row>
    <row r="13" spans="1:7" ht="26.25" customHeight="1">
      <c r="A13" s="383" t="s">
        <v>684</v>
      </c>
      <c r="B13" s="384">
        <v>3040</v>
      </c>
      <c r="C13" s="385">
        <f>SUM(C14:C16)</f>
        <v>979.8</v>
      </c>
      <c r="D13" s="385">
        <f>SUM(D14:D16)</f>
        <v>96</v>
      </c>
      <c r="E13" s="385">
        <f>SUM(E14:E16)</f>
        <v>797.3</v>
      </c>
      <c r="F13" s="385">
        <f t="shared" si="2"/>
        <v>701.3</v>
      </c>
      <c r="G13" s="386">
        <f t="shared" si="3"/>
        <v>830.52083333333326</v>
      </c>
    </row>
    <row r="14" spans="1:7" ht="42" customHeight="1">
      <c r="A14" s="239" t="s">
        <v>685</v>
      </c>
      <c r="B14" s="334"/>
      <c r="C14" s="83">
        <f>'Розшифровка 1 до Формування'!D13</f>
        <v>0</v>
      </c>
      <c r="D14" s="83">
        <f>'Розшифровка 1 до Формування'!E13</f>
        <v>0</v>
      </c>
      <c r="E14" s="83">
        <f>'Розшифровка 1 до Формування'!F13</f>
        <v>36.799999999999997</v>
      </c>
      <c r="F14" s="83">
        <f t="shared" si="2"/>
        <v>36.799999999999997</v>
      </c>
      <c r="G14" s="395" t="e">
        <f t="shared" si="3"/>
        <v>#DIV/0!</v>
      </c>
    </row>
    <row r="15" spans="1:7" ht="26.25" customHeight="1">
      <c r="A15" s="239" t="s">
        <v>182</v>
      </c>
      <c r="B15" s="334"/>
      <c r="C15" s="83">
        <f>'Розшифровка 1 до Формування'!D14</f>
        <v>108.9</v>
      </c>
      <c r="D15" s="83">
        <f>'Розшифровка 1 до Формування'!E14</f>
        <v>96</v>
      </c>
      <c r="E15" s="83">
        <f>'Розшифровка 1 до Формування'!F14</f>
        <v>154.9</v>
      </c>
      <c r="F15" s="83">
        <f t="shared" si="2"/>
        <v>58.900000000000006</v>
      </c>
      <c r="G15" s="393">
        <f t="shared" si="3"/>
        <v>161.35416666666666</v>
      </c>
    </row>
    <row r="16" spans="1:7" ht="26.25" customHeight="1">
      <c r="A16" s="239" t="s">
        <v>183</v>
      </c>
      <c r="B16" s="334"/>
      <c r="C16" s="83">
        <f>'Розшифровка 1 до Формування'!D15</f>
        <v>870.9</v>
      </c>
      <c r="D16" s="83">
        <f>'Розшифровка 1 до Формування'!E15</f>
        <v>0</v>
      </c>
      <c r="E16" s="83">
        <f>'Розшифровка 1 до Формування'!F15</f>
        <v>605.6</v>
      </c>
      <c r="F16" s="83">
        <f t="shared" si="2"/>
        <v>605.6</v>
      </c>
      <c r="G16" s="395" t="e">
        <f t="shared" si="3"/>
        <v>#DIV/0!</v>
      </c>
    </row>
    <row r="17" spans="1:10" ht="26.25" customHeight="1">
      <c r="A17" s="392" t="s">
        <v>661</v>
      </c>
      <c r="B17" s="334"/>
      <c r="C17" s="83"/>
      <c r="D17" s="83"/>
      <c r="E17" s="83"/>
      <c r="F17" s="83">
        <f t="shared" si="2"/>
        <v>0</v>
      </c>
      <c r="G17" s="395" t="e">
        <f t="shared" si="3"/>
        <v>#DIV/0!</v>
      </c>
    </row>
    <row r="18" spans="1:10" ht="46.5" customHeight="1">
      <c r="A18" s="396" t="s">
        <v>662</v>
      </c>
      <c r="B18" s="397">
        <v>3200</v>
      </c>
      <c r="C18" s="398">
        <f>C19+C22</f>
        <v>44435</v>
      </c>
      <c r="D18" s="398">
        <f>D19</f>
        <v>31463.8</v>
      </c>
      <c r="E18" s="398">
        <f>E19</f>
        <v>24006.2</v>
      </c>
      <c r="F18" s="398">
        <f t="shared" si="2"/>
        <v>-7457.5999999999985</v>
      </c>
      <c r="G18" s="399">
        <f t="shared" si="3"/>
        <v>76.297840693113997</v>
      </c>
    </row>
    <row r="19" spans="1:10" ht="28.5" customHeight="1">
      <c r="A19" s="396" t="s">
        <v>684</v>
      </c>
      <c r="B19" s="397">
        <v>3210</v>
      </c>
      <c r="C19" s="398">
        <f>C20</f>
        <v>21546.9</v>
      </c>
      <c r="D19" s="398">
        <f t="shared" ref="D19:E19" si="6">D20</f>
        <v>31463.8</v>
      </c>
      <c r="E19" s="398">
        <f t="shared" si="6"/>
        <v>24006.2</v>
      </c>
      <c r="F19" s="398">
        <f t="shared" si="2"/>
        <v>-7457.5999999999985</v>
      </c>
      <c r="G19" s="399">
        <f t="shared" si="3"/>
        <v>76.297840693113997</v>
      </c>
    </row>
    <row r="20" spans="1:10" ht="45" customHeight="1">
      <c r="A20" s="239" t="s">
        <v>683</v>
      </c>
      <c r="B20" s="336"/>
      <c r="C20" s="83">
        <v>21546.9</v>
      </c>
      <c r="D20" s="83">
        <v>31463.8</v>
      </c>
      <c r="E20" s="83">
        <v>24006.2</v>
      </c>
      <c r="F20" s="83">
        <f t="shared" si="2"/>
        <v>-7457.5999999999985</v>
      </c>
      <c r="G20" s="393">
        <f t="shared" si="3"/>
        <v>76.297840693113997</v>
      </c>
      <c r="H20" s="15">
        <f>E20+'[36]Розшифровка 1 до Формування'!F11</f>
        <v>42889.100000000006</v>
      </c>
    </row>
    <row r="21" spans="1:10" ht="41.25" customHeight="1">
      <c r="A21" s="335" t="s">
        <v>664</v>
      </c>
      <c r="B21" s="336"/>
      <c r="C21" s="84"/>
      <c r="D21" s="84"/>
      <c r="E21" s="84"/>
      <c r="F21" s="84">
        <f t="shared" si="2"/>
        <v>0</v>
      </c>
      <c r="G21" s="400" t="e">
        <f t="shared" si="3"/>
        <v>#DIV/0!</v>
      </c>
    </row>
    <row r="22" spans="1:10" ht="42" customHeight="1">
      <c r="A22" s="387" t="s">
        <v>665</v>
      </c>
      <c r="B22" s="388">
        <v>3260</v>
      </c>
      <c r="C22" s="389">
        <f>C25+C88+C202+C199+C23</f>
        <v>22888.1</v>
      </c>
      <c r="D22" s="389">
        <f>D25+D88+D202+D199+D23</f>
        <v>31463.8</v>
      </c>
      <c r="E22" s="389">
        <f>E25+E88+E202+E199+E23</f>
        <v>32285.600000000002</v>
      </c>
      <c r="F22" s="389">
        <f t="shared" si="2"/>
        <v>821.80000000000291</v>
      </c>
      <c r="G22" s="390">
        <f t="shared" si="3"/>
        <v>102.61189049002346</v>
      </c>
    </row>
    <row r="23" spans="1:10" s="69" customFormat="1" ht="26.25" customHeight="1">
      <c r="A23" s="387" t="s">
        <v>61</v>
      </c>
      <c r="B23" s="388">
        <v>3265</v>
      </c>
      <c r="C23" s="389">
        <f>C24</f>
        <v>0</v>
      </c>
      <c r="D23" s="389">
        <f>D24</f>
        <v>140</v>
      </c>
      <c r="E23" s="389">
        <f>E24</f>
        <v>1783.3</v>
      </c>
      <c r="F23" s="389"/>
      <c r="G23" s="390"/>
    </row>
    <row r="24" spans="1:10" ht="76.5" customHeight="1">
      <c r="A24" s="12" t="s">
        <v>534</v>
      </c>
      <c r="B24" s="336"/>
      <c r="C24" s="117"/>
      <c r="D24" s="83">
        <v>140</v>
      </c>
      <c r="E24" s="83">
        <v>1783.3</v>
      </c>
      <c r="F24" s="117">
        <f t="shared" ref="F24:F89" si="7">E24-D24</f>
        <v>1643.3</v>
      </c>
      <c r="G24" s="337">
        <f t="shared" ref="G24:G89" si="8">(E24/D24)*100</f>
        <v>1273.7857142857142</v>
      </c>
      <c r="H24" s="457" t="s">
        <v>698</v>
      </c>
    </row>
    <row r="25" spans="1:10" s="4" customFormat="1" ht="44.25" customHeight="1">
      <c r="A25" s="387" t="s">
        <v>686</v>
      </c>
      <c r="B25" s="391">
        <v>3266</v>
      </c>
      <c r="C25" s="389">
        <f>SUM(C26:C85)</f>
        <v>7599.9000000000005</v>
      </c>
      <c r="D25" s="389">
        <f>SUM(D26:D85)</f>
        <v>1910</v>
      </c>
      <c r="E25" s="389">
        <f>SUM(E26:E87)</f>
        <v>8164.0999999999995</v>
      </c>
      <c r="F25" s="389">
        <f t="shared" si="7"/>
        <v>6254.0999999999995</v>
      </c>
      <c r="G25" s="390">
        <f t="shared" si="8"/>
        <v>427.43979057591622</v>
      </c>
    </row>
    <row r="26" spans="1:10" s="4" customFormat="1" ht="26.25" customHeight="1">
      <c r="A26" s="12" t="s">
        <v>461</v>
      </c>
      <c r="B26" s="401"/>
      <c r="C26" s="338">
        <v>5148</v>
      </c>
      <c r="D26" s="117"/>
      <c r="E26" s="117"/>
      <c r="F26" s="83">
        <f t="shared" si="7"/>
        <v>0</v>
      </c>
      <c r="G26" s="485" t="e">
        <f t="shared" si="8"/>
        <v>#DIV/0!</v>
      </c>
    </row>
    <row r="27" spans="1:10" s="4" customFormat="1" ht="26.25" customHeight="1">
      <c r="A27" s="12" t="s">
        <v>462</v>
      </c>
      <c r="B27" s="401"/>
      <c r="C27" s="338">
        <v>191.8</v>
      </c>
      <c r="D27" s="117"/>
      <c r="E27" s="117"/>
      <c r="F27" s="83">
        <f t="shared" si="7"/>
        <v>0</v>
      </c>
      <c r="G27" s="485" t="e">
        <f t="shared" si="8"/>
        <v>#DIV/0!</v>
      </c>
    </row>
    <row r="28" spans="1:10" s="4" customFormat="1" ht="43.5" customHeight="1">
      <c r="A28" s="12" t="s">
        <v>463</v>
      </c>
      <c r="B28" s="401"/>
      <c r="C28" s="338">
        <v>217</v>
      </c>
      <c r="D28" s="117"/>
      <c r="E28" s="117"/>
      <c r="F28" s="83">
        <f t="shared" si="7"/>
        <v>0</v>
      </c>
      <c r="G28" s="485" t="e">
        <f t="shared" si="8"/>
        <v>#DIV/0!</v>
      </c>
      <c r="J28" s="21">
        <f>E24+E45+E46+E47+E57+E59+E60+E61+E62+E63+E84+E139+E140+E141+E142+E143+E144+E145+E146+E199+E202</f>
        <v>24642.7</v>
      </c>
    </row>
    <row r="29" spans="1:10" s="4" customFormat="1" ht="45.75" customHeight="1">
      <c r="A29" s="12" t="s">
        <v>464</v>
      </c>
      <c r="B29" s="401"/>
      <c r="C29" s="338">
        <v>116.8</v>
      </c>
      <c r="D29" s="117"/>
      <c r="E29" s="117"/>
      <c r="F29" s="83">
        <f t="shared" si="7"/>
        <v>0</v>
      </c>
      <c r="G29" s="485" t="e">
        <f t="shared" si="8"/>
        <v>#DIV/0!</v>
      </c>
    </row>
    <row r="30" spans="1:10" s="4" customFormat="1" ht="26.25" customHeight="1">
      <c r="A30" s="12" t="s">
        <v>465</v>
      </c>
      <c r="B30" s="401"/>
      <c r="C30" s="338">
        <v>340</v>
      </c>
      <c r="D30" s="117"/>
      <c r="E30" s="117"/>
      <c r="F30" s="83">
        <f t="shared" si="7"/>
        <v>0</v>
      </c>
      <c r="G30" s="485" t="e">
        <f t="shared" si="8"/>
        <v>#DIV/0!</v>
      </c>
      <c r="I30" s="21">
        <f>E24+E45+E46+E47+E57+E59+E60+E61+E62+E63+E84+E139+E140+E141+E142+E143+E144+E145+E146+E199+I203+I204+E205+E207</f>
        <v>12497</v>
      </c>
    </row>
    <row r="31" spans="1:10" s="4" customFormat="1" ht="26.25" customHeight="1">
      <c r="A31" s="12" t="s">
        <v>466</v>
      </c>
      <c r="B31" s="401"/>
      <c r="C31" s="338">
        <v>901.2</v>
      </c>
      <c r="D31" s="117"/>
      <c r="E31" s="117"/>
      <c r="F31" s="83">
        <f t="shared" si="7"/>
        <v>0</v>
      </c>
      <c r="G31" s="485" t="e">
        <f t="shared" si="8"/>
        <v>#DIV/0!</v>
      </c>
    </row>
    <row r="32" spans="1:10" s="4" customFormat="1" ht="26.25" customHeight="1">
      <c r="A32" s="16" t="s">
        <v>471</v>
      </c>
      <c r="B32" s="206"/>
      <c r="C32" s="166">
        <v>42.1</v>
      </c>
      <c r="D32" s="117"/>
      <c r="E32" s="117"/>
      <c r="F32" s="83">
        <f t="shared" si="7"/>
        <v>0</v>
      </c>
      <c r="G32" s="485" t="e">
        <f t="shared" si="8"/>
        <v>#DIV/0!</v>
      </c>
    </row>
    <row r="33" spans="1:9" s="4" customFormat="1" ht="26.25" customHeight="1">
      <c r="A33" s="16" t="s">
        <v>474</v>
      </c>
      <c r="B33" s="206"/>
      <c r="C33" s="166">
        <v>590</v>
      </c>
      <c r="D33" s="117"/>
      <c r="E33" s="117"/>
      <c r="F33" s="83">
        <f t="shared" si="7"/>
        <v>0</v>
      </c>
      <c r="G33" s="485" t="e">
        <f t="shared" si="8"/>
        <v>#DIV/0!</v>
      </c>
    </row>
    <row r="34" spans="1:9" s="4" customFormat="1" ht="41.25" customHeight="1">
      <c r="A34" s="16" t="s">
        <v>480</v>
      </c>
      <c r="B34" s="206"/>
      <c r="C34" s="166">
        <v>53</v>
      </c>
      <c r="D34" s="117"/>
      <c r="E34" s="117"/>
      <c r="F34" s="83">
        <f t="shared" si="7"/>
        <v>0</v>
      </c>
      <c r="G34" s="485" t="e">
        <f t="shared" si="8"/>
        <v>#DIV/0!</v>
      </c>
    </row>
    <row r="35" spans="1:9" s="4" customFormat="1" ht="26.25" customHeight="1">
      <c r="A35" s="205" t="s">
        <v>529</v>
      </c>
      <c r="B35" s="401"/>
      <c r="C35" s="117"/>
      <c r="D35" s="166">
        <v>93.8</v>
      </c>
      <c r="E35" s="117"/>
      <c r="F35" s="83">
        <f t="shared" si="7"/>
        <v>-93.8</v>
      </c>
      <c r="G35" s="393">
        <f t="shared" si="8"/>
        <v>0</v>
      </c>
    </row>
    <row r="36" spans="1:9" s="4" customFormat="1" ht="26.25" customHeight="1">
      <c r="A36" s="205" t="s">
        <v>530</v>
      </c>
      <c r="B36" s="401"/>
      <c r="C36" s="117"/>
      <c r="D36" s="166">
        <v>75</v>
      </c>
      <c r="E36" s="117"/>
      <c r="F36" s="83">
        <f t="shared" si="7"/>
        <v>-75</v>
      </c>
      <c r="G36" s="393">
        <f t="shared" si="8"/>
        <v>0</v>
      </c>
    </row>
    <row r="37" spans="1:9" s="4" customFormat="1" ht="26.25" customHeight="1">
      <c r="A37" s="205" t="s">
        <v>531</v>
      </c>
      <c r="B37" s="401"/>
      <c r="C37" s="117"/>
      <c r="D37" s="166">
        <v>41.2</v>
      </c>
      <c r="E37" s="117"/>
      <c r="F37" s="83">
        <f t="shared" si="7"/>
        <v>-41.2</v>
      </c>
      <c r="G37" s="393">
        <f t="shared" si="8"/>
        <v>0</v>
      </c>
    </row>
    <row r="38" spans="1:9" s="4" customFormat="1" ht="26.25" customHeight="1">
      <c r="A38" s="205" t="s">
        <v>532</v>
      </c>
      <c r="B38" s="401"/>
      <c r="C38" s="117"/>
      <c r="D38" s="166">
        <v>1700</v>
      </c>
      <c r="E38" s="117"/>
      <c r="F38" s="83">
        <f t="shared" si="7"/>
        <v>-1700</v>
      </c>
      <c r="G38" s="393">
        <f t="shared" si="8"/>
        <v>0</v>
      </c>
    </row>
    <row r="39" spans="1:9" s="4" customFormat="1" ht="36.75" customHeight="1">
      <c r="A39" s="205" t="s">
        <v>312</v>
      </c>
      <c r="B39" s="401"/>
      <c r="C39" s="117"/>
      <c r="D39" s="66"/>
      <c r="E39" s="166">
        <v>29.9</v>
      </c>
      <c r="F39" s="83">
        <f t="shared" si="7"/>
        <v>29.9</v>
      </c>
      <c r="G39" s="485" t="e">
        <f t="shared" si="8"/>
        <v>#DIV/0!</v>
      </c>
      <c r="H39" s="466" t="s">
        <v>687</v>
      </c>
      <c r="I39" s="459"/>
    </row>
    <row r="40" spans="1:9" s="4" customFormat="1" ht="26.25" customHeight="1">
      <c r="A40" s="205" t="s">
        <v>313</v>
      </c>
      <c r="B40" s="401"/>
      <c r="C40" s="117"/>
      <c r="D40" s="66"/>
      <c r="E40" s="166">
        <v>195</v>
      </c>
      <c r="F40" s="83">
        <f t="shared" si="7"/>
        <v>195</v>
      </c>
      <c r="G40" s="485" t="e">
        <f t="shared" si="8"/>
        <v>#DIV/0!</v>
      </c>
      <c r="H40" s="466" t="s">
        <v>687</v>
      </c>
      <c r="I40" s="459"/>
    </row>
    <row r="41" spans="1:9" s="4" customFormat="1" ht="44.25" customHeight="1">
      <c r="A41" s="205" t="s">
        <v>418</v>
      </c>
      <c r="B41" s="401"/>
      <c r="C41" s="117"/>
      <c r="D41" s="66"/>
      <c r="E41" s="166">
        <v>250.5</v>
      </c>
      <c r="F41" s="83">
        <f t="shared" si="7"/>
        <v>250.5</v>
      </c>
      <c r="G41" s="485" t="e">
        <f t="shared" si="8"/>
        <v>#DIV/0!</v>
      </c>
      <c r="H41" s="466" t="s">
        <v>688</v>
      </c>
      <c r="I41" s="459"/>
    </row>
    <row r="42" spans="1:9" s="4" customFormat="1" ht="39" customHeight="1">
      <c r="A42" s="205" t="s">
        <v>319</v>
      </c>
      <c r="B42" s="401"/>
      <c r="C42" s="117"/>
      <c r="D42" s="66"/>
      <c r="E42" s="166">
        <v>331</v>
      </c>
      <c r="F42" s="83">
        <f t="shared" si="7"/>
        <v>331</v>
      </c>
      <c r="G42" s="485" t="e">
        <f t="shared" si="8"/>
        <v>#DIV/0!</v>
      </c>
      <c r="H42" s="466" t="s">
        <v>688</v>
      </c>
      <c r="I42" s="459"/>
    </row>
    <row r="43" spans="1:9" s="4" customFormat="1" ht="40.5" customHeight="1">
      <c r="A43" s="205" t="s">
        <v>320</v>
      </c>
      <c r="B43" s="401"/>
      <c r="C43" s="117"/>
      <c r="D43" s="66"/>
      <c r="E43" s="166">
        <v>49.1</v>
      </c>
      <c r="F43" s="83">
        <f t="shared" si="7"/>
        <v>49.1</v>
      </c>
      <c r="G43" s="485" t="e">
        <f t="shared" si="8"/>
        <v>#DIV/0!</v>
      </c>
      <c r="H43" s="466" t="s">
        <v>688</v>
      </c>
      <c r="I43" s="459"/>
    </row>
    <row r="44" spans="1:9" s="4" customFormat="1" ht="26.25" customHeight="1">
      <c r="A44" s="205" t="s">
        <v>321</v>
      </c>
      <c r="B44" s="401"/>
      <c r="C44" s="117"/>
      <c r="D44" s="66"/>
      <c r="E44" s="166">
        <v>56.4</v>
      </c>
      <c r="F44" s="83">
        <f t="shared" si="7"/>
        <v>56.4</v>
      </c>
      <c r="G44" s="485" t="e">
        <f t="shared" si="8"/>
        <v>#DIV/0!</v>
      </c>
      <c r="H44" s="466" t="s">
        <v>688</v>
      </c>
      <c r="I44" s="459"/>
    </row>
    <row r="45" spans="1:9" s="4" customFormat="1" ht="23.25" customHeight="1">
      <c r="A45" s="205" t="s">
        <v>322</v>
      </c>
      <c r="B45" s="401"/>
      <c r="C45" s="117"/>
      <c r="D45" s="66"/>
      <c r="E45" s="454">
        <v>75</v>
      </c>
      <c r="F45" s="83">
        <f t="shared" si="7"/>
        <v>75</v>
      </c>
      <c r="G45" s="485" t="e">
        <f t="shared" si="8"/>
        <v>#DIV/0!</v>
      </c>
      <c r="H45" s="466" t="s">
        <v>689</v>
      </c>
      <c r="I45" s="459"/>
    </row>
    <row r="46" spans="1:9" s="4" customFormat="1" ht="23.25" customHeight="1">
      <c r="A46" s="205" t="s">
        <v>323</v>
      </c>
      <c r="B46" s="401"/>
      <c r="C46" s="117"/>
      <c r="D46" s="66"/>
      <c r="E46" s="454">
        <v>41.2</v>
      </c>
      <c r="F46" s="83">
        <f t="shared" si="7"/>
        <v>41.2</v>
      </c>
      <c r="G46" s="485" t="e">
        <f t="shared" si="8"/>
        <v>#DIV/0!</v>
      </c>
      <c r="H46" s="466" t="s">
        <v>689</v>
      </c>
      <c r="I46" s="459"/>
    </row>
    <row r="47" spans="1:9" s="4" customFormat="1" ht="26.25" customHeight="1">
      <c r="A47" s="205" t="s">
        <v>454</v>
      </c>
      <c r="B47" s="401"/>
      <c r="C47" s="117"/>
      <c r="D47" s="66"/>
      <c r="E47" s="454">
        <v>1700</v>
      </c>
      <c r="F47" s="83">
        <f t="shared" si="7"/>
        <v>1700</v>
      </c>
      <c r="G47" s="485" t="e">
        <f t="shared" si="8"/>
        <v>#DIV/0!</v>
      </c>
      <c r="H47" s="466" t="s">
        <v>689</v>
      </c>
      <c r="I47" s="459"/>
    </row>
    <row r="48" spans="1:9" s="4" customFormat="1" ht="39.75" customHeight="1">
      <c r="A48" s="205" t="s">
        <v>433</v>
      </c>
      <c r="B48" s="401"/>
      <c r="C48" s="117"/>
      <c r="D48" s="66"/>
      <c r="E48" s="166">
        <v>35.4</v>
      </c>
      <c r="F48" s="83">
        <f t="shared" si="7"/>
        <v>35.4</v>
      </c>
      <c r="G48" s="485" t="e">
        <f t="shared" si="8"/>
        <v>#DIV/0!</v>
      </c>
      <c r="H48" s="466" t="s">
        <v>688</v>
      </c>
      <c r="I48" s="459"/>
    </row>
    <row r="49" spans="1:9" s="4" customFormat="1" ht="26.25" customHeight="1">
      <c r="A49" s="205" t="s">
        <v>324</v>
      </c>
      <c r="B49" s="401"/>
      <c r="C49" s="117"/>
      <c r="D49" s="66"/>
      <c r="E49" s="166">
        <v>780</v>
      </c>
      <c r="F49" s="83">
        <f t="shared" si="7"/>
        <v>780</v>
      </c>
      <c r="G49" s="485" t="e">
        <f t="shared" si="8"/>
        <v>#DIV/0!</v>
      </c>
      <c r="H49" s="466" t="s">
        <v>688</v>
      </c>
      <c r="I49" s="459"/>
    </row>
    <row r="50" spans="1:9" s="4" customFormat="1" ht="26.25" customHeight="1">
      <c r="A50" s="205" t="s">
        <v>325</v>
      </c>
      <c r="B50" s="401"/>
      <c r="C50" s="117"/>
      <c r="D50" s="66"/>
      <c r="E50" s="166">
        <v>34.4</v>
      </c>
      <c r="F50" s="83">
        <f t="shared" si="7"/>
        <v>34.4</v>
      </c>
      <c r="G50" s="485" t="e">
        <f t="shared" si="8"/>
        <v>#DIV/0!</v>
      </c>
      <c r="H50" s="466" t="s">
        <v>688</v>
      </c>
      <c r="I50" s="459"/>
    </row>
    <row r="51" spans="1:9" s="4" customFormat="1" ht="39.75" customHeight="1">
      <c r="A51" s="205" t="s">
        <v>326</v>
      </c>
      <c r="B51" s="401"/>
      <c r="C51" s="117"/>
      <c r="D51" s="66"/>
      <c r="E51" s="166">
        <v>44.9</v>
      </c>
      <c r="F51" s="83">
        <f t="shared" si="7"/>
        <v>44.9</v>
      </c>
      <c r="G51" s="485" t="e">
        <f t="shared" si="8"/>
        <v>#DIV/0!</v>
      </c>
      <c r="H51" s="466" t="s">
        <v>688</v>
      </c>
      <c r="I51" s="459"/>
    </row>
    <row r="52" spans="1:9" s="4" customFormat="1" ht="26.25" customHeight="1">
      <c r="A52" s="205" t="s">
        <v>419</v>
      </c>
      <c r="B52" s="401"/>
      <c r="C52" s="117"/>
      <c r="D52" s="66"/>
      <c r="E52" s="166">
        <v>20.399999999999999</v>
      </c>
      <c r="F52" s="83">
        <f t="shared" si="7"/>
        <v>20.399999999999999</v>
      </c>
      <c r="G52" s="485" t="e">
        <f t="shared" si="8"/>
        <v>#DIV/0!</v>
      </c>
      <c r="H52" s="466" t="s">
        <v>688</v>
      </c>
      <c r="I52" s="459"/>
    </row>
    <row r="53" spans="1:9" s="4" customFormat="1" ht="26.25" customHeight="1">
      <c r="A53" s="205" t="s">
        <v>420</v>
      </c>
      <c r="B53" s="401"/>
      <c r="C53" s="117"/>
      <c r="D53" s="66"/>
      <c r="E53" s="166">
        <v>23.5</v>
      </c>
      <c r="F53" s="83">
        <f t="shared" si="7"/>
        <v>23.5</v>
      </c>
      <c r="G53" s="485" t="e">
        <f t="shared" si="8"/>
        <v>#DIV/0!</v>
      </c>
      <c r="H53" s="466" t="s">
        <v>688</v>
      </c>
      <c r="I53" s="459"/>
    </row>
    <row r="54" spans="1:9" s="4" customFormat="1" ht="26.25" customHeight="1">
      <c r="A54" s="205" t="s">
        <v>421</v>
      </c>
      <c r="B54" s="401"/>
      <c r="C54" s="117"/>
      <c r="D54" s="66"/>
      <c r="E54" s="166">
        <v>78.8</v>
      </c>
      <c r="F54" s="83">
        <f t="shared" si="7"/>
        <v>78.8</v>
      </c>
      <c r="G54" s="485" t="e">
        <f t="shared" si="8"/>
        <v>#DIV/0!</v>
      </c>
      <c r="H54" s="466" t="s">
        <v>688</v>
      </c>
      <c r="I54" s="459"/>
    </row>
    <row r="55" spans="1:9" s="4" customFormat="1" ht="26.25" customHeight="1">
      <c r="A55" s="205" t="s">
        <v>422</v>
      </c>
      <c r="B55" s="401"/>
      <c r="C55" s="117"/>
      <c r="D55" s="66"/>
      <c r="E55" s="166">
        <v>33.5</v>
      </c>
      <c r="F55" s="83">
        <f t="shared" si="7"/>
        <v>33.5</v>
      </c>
      <c r="G55" s="485" t="e">
        <f t="shared" si="8"/>
        <v>#DIV/0!</v>
      </c>
      <c r="H55" s="466" t="s">
        <v>688</v>
      </c>
      <c r="I55" s="459"/>
    </row>
    <row r="56" spans="1:9" s="4" customFormat="1" ht="26.25" customHeight="1">
      <c r="A56" s="205" t="s">
        <v>423</v>
      </c>
      <c r="B56" s="401"/>
      <c r="C56" s="117"/>
      <c r="D56" s="66"/>
      <c r="E56" s="166">
        <v>165.2</v>
      </c>
      <c r="F56" s="83">
        <f t="shared" si="7"/>
        <v>165.2</v>
      </c>
      <c r="G56" s="485" t="e">
        <f t="shared" si="8"/>
        <v>#DIV/0!</v>
      </c>
      <c r="H56" s="466" t="s">
        <v>688</v>
      </c>
      <c r="I56" s="459"/>
    </row>
    <row r="57" spans="1:9" s="4" customFormat="1" ht="39.75" customHeight="1">
      <c r="A57" s="205" t="s">
        <v>426</v>
      </c>
      <c r="B57" s="401"/>
      <c r="C57" s="117"/>
      <c r="D57" s="66"/>
      <c r="E57" s="454">
        <v>93.8</v>
      </c>
      <c r="F57" s="83">
        <f t="shared" si="7"/>
        <v>93.8</v>
      </c>
      <c r="G57" s="485" t="e">
        <f t="shared" si="8"/>
        <v>#DIV/0!</v>
      </c>
      <c r="H57" s="466" t="s">
        <v>689</v>
      </c>
      <c r="I57" s="459"/>
    </row>
    <row r="58" spans="1:9" s="4" customFormat="1" ht="39.75" customHeight="1">
      <c r="A58" s="205" t="s">
        <v>427</v>
      </c>
      <c r="B58" s="401"/>
      <c r="C58" s="117"/>
      <c r="D58" s="66"/>
      <c r="E58" s="166">
        <v>346</v>
      </c>
      <c r="F58" s="83">
        <f t="shared" si="7"/>
        <v>346</v>
      </c>
      <c r="G58" s="485" t="e">
        <f t="shared" si="8"/>
        <v>#DIV/0!</v>
      </c>
      <c r="H58" s="466" t="s">
        <v>688</v>
      </c>
      <c r="I58" s="459"/>
    </row>
    <row r="59" spans="1:9" s="4" customFormat="1" ht="26.25" customHeight="1">
      <c r="A59" s="205" t="s">
        <v>428</v>
      </c>
      <c r="B59" s="401"/>
      <c r="C59" s="117"/>
      <c r="D59" s="66"/>
      <c r="E59" s="454">
        <v>36.4</v>
      </c>
      <c r="F59" s="83">
        <f t="shared" si="7"/>
        <v>36.4</v>
      </c>
      <c r="G59" s="485" t="e">
        <f t="shared" si="8"/>
        <v>#DIV/0!</v>
      </c>
      <c r="H59" s="466" t="s">
        <v>699</v>
      </c>
      <c r="I59" s="459"/>
    </row>
    <row r="60" spans="1:9" s="4" customFormat="1" ht="26.25" customHeight="1">
      <c r="A60" s="205" t="s">
        <v>429</v>
      </c>
      <c r="B60" s="401"/>
      <c r="C60" s="117"/>
      <c r="D60" s="66"/>
      <c r="E60" s="454">
        <v>129.6</v>
      </c>
      <c r="F60" s="83">
        <f t="shared" si="7"/>
        <v>129.6</v>
      </c>
      <c r="G60" s="485" t="e">
        <f t="shared" si="8"/>
        <v>#DIV/0!</v>
      </c>
      <c r="H60" s="466" t="s">
        <v>699</v>
      </c>
      <c r="I60" s="459"/>
    </row>
    <row r="61" spans="1:9" s="4" customFormat="1" ht="26.25" customHeight="1">
      <c r="A61" s="205" t="s">
        <v>430</v>
      </c>
      <c r="B61" s="401"/>
      <c r="C61" s="117"/>
      <c r="D61" s="66"/>
      <c r="E61" s="454">
        <v>47.7</v>
      </c>
      <c r="F61" s="83">
        <f t="shared" si="7"/>
        <v>47.7</v>
      </c>
      <c r="G61" s="485" t="e">
        <f t="shared" si="8"/>
        <v>#DIV/0!</v>
      </c>
      <c r="H61" s="466" t="s">
        <v>699</v>
      </c>
      <c r="I61" s="459"/>
    </row>
    <row r="62" spans="1:9" s="4" customFormat="1" ht="26.25" customHeight="1">
      <c r="A62" s="205" t="s">
        <v>431</v>
      </c>
      <c r="B62" s="401"/>
      <c r="C62" s="117"/>
      <c r="D62" s="66"/>
      <c r="E62" s="454">
        <v>69.900000000000006</v>
      </c>
      <c r="F62" s="83">
        <f t="shared" si="7"/>
        <v>69.900000000000006</v>
      </c>
      <c r="G62" s="485" t="e">
        <f t="shared" si="8"/>
        <v>#DIV/0!</v>
      </c>
      <c r="H62" s="466" t="s">
        <v>699</v>
      </c>
      <c r="I62" s="459"/>
    </row>
    <row r="63" spans="1:9" s="4" customFormat="1" ht="26.25" customHeight="1">
      <c r="A63" s="205" t="s">
        <v>432</v>
      </c>
      <c r="B63" s="401"/>
      <c r="C63" s="117"/>
      <c r="D63" s="66"/>
      <c r="E63" s="454">
        <v>54.9</v>
      </c>
      <c r="F63" s="83">
        <f t="shared" si="7"/>
        <v>54.9</v>
      </c>
      <c r="G63" s="485" t="e">
        <f t="shared" si="8"/>
        <v>#DIV/0!</v>
      </c>
      <c r="H63" s="466" t="s">
        <v>699</v>
      </c>
      <c r="I63" s="459"/>
    </row>
    <row r="64" spans="1:9" s="4" customFormat="1" ht="26.25" customHeight="1">
      <c r="A64" s="205" t="s">
        <v>545</v>
      </c>
      <c r="B64" s="401"/>
      <c r="C64" s="117"/>
      <c r="D64" s="66"/>
      <c r="E64" s="166">
        <v>41.6</v>
      </c>
      <c r="F64" s="83">
        <f t="shared" si="7"/>
        <v>41.6</v>
      </c>
      <c r="G64" s="485" t="e">
        <f t="shared" si="8"/>
        <v>#DIV/0!</v>
      </c>
      <c r="H64" s="466" t="s">
        <v>688</v>
      </c>
      <c r="I64" s="459"/>
    </row>
    <row r="65" spans="1:9" s="4" customFormat="1" ht="26.25" customHeight="1">
      <c r="A65" s="205" t="s">
        <v>546</v>
      </c>
      <c r="B65" s="401"/>
      <c r="C65" s="117"/>
      <c r="D65" s="66"/>
      <c r="E65" s="166">
        <v>35</v>
      </c>
      <c r="F65" s="83">
        <f t="shared" si="7"/>
        <v>35</v>
      </c>
      <c r="G65" s="485" t="e">
        <f t="shared" si="8"/>
        <v>#DIV/0!</v>
      </c>
      <c r="H65" s="466" t="s">
        <v>688</v>
      </c>
      <c r="I65" s="459"/>
    </row>
    <row r="66" spans="1:9" s="4" customFormat="1" ht="26.25" customHeight="1">
      <c r="A66" s="205" t="s">
        <v>547</v>
      </c>
      <c r="B66" s="401"/>
      <c r="C66" s="117"/>
      <c r="D66" s="66"/>
      <c r="E66" s="166">
        <v>28</v>
      </c>
      <c r="F66" s="83">
        <f t="shared" si="7"/>
        <v>28</v>
      </c>
      <c r="G66" s="485" t="e">
        <f t="shared" si="8"/>
        <v>#DIV/0!</v>
      </c>
      <c r="H66" s="466" t="s">
        <v>688</v>
      </c>
      <c r="I66" s="459"/>
    </row>
    <row r="67" spans="1:9" s="4" customFormat="1" ht="39" customHeight="1">
      <c r="A67" s="205" t="s">
        <v>548</v>
      </c>
      <c r="B67" s="401"/>
      <c r="C67" s="117"/>
      <c r="D67" s="66"/>
      <c r="E67" s="166">
        <v>89.9</v>
      </c>
      <c r="F67" s="83">
        <f t="shared" si="7"/>
        <v>89.9</v>
      </c>
      <c r="G67" s="485" t="e">
        <f t="shared" si="8"/>
        <v>#DIV/0!</v>
      </c>
      <c r="H67" s="466" t="s">
        <v>688</v>
      </c>
      <c r="I67" s="459"/>
    </row>
    <row r="68" spans="1:9" s="4" customFormat="1" ht="26.25" customHeight="1">
      <c r="A68" s="205" t="s">
        <v>549</v>
      </c>
      <c r="B68" s="401"/>
      <c r="C68" s="117"/>
      <c r="D68" s="66"/>
      <c r="E68" s="166">
        <v>90.1</v>
      </c>
      <c r="F68" s="83">
        <f t="shared" si="7"/>
        <v>90.1</v>
      </c>
      <c r="G68" s="485" t="e">
        <f t="shared" si="8"/>
        <v>#DIV/0!</v>
      </c>
      <c r="H68" s="466" t="s">
        <v>688</v>
      </c>
      <c r="I68" s="459"/>
    </row>
    <row r="69" spans="1:9" s="4" customFormat="1" ht="26.25" customHeight="1">
      <c r="A69" s="205" t="s">
        <v>551</v>
      </c>
      <c r="B69" s="401"/>
      <c r="C69" s="117"/>
      <c r="D69" s="66"/>
      <c r="E69" s="166">
        <v>180.5</v>
      </c>
      <c r="F69" s="83">
        <f t="shared" si="7"/>
        <v>180.5</v>
      </c>
      <c r="G69" s="485" t="e">
        <f t="shared" si="8"/>
        <v>#DIV/0!</v>
      </c>
      <c r="H69" s="466" t="s">
        <v>688</v>
      </c>
      <c r="I69" s="459"/>
    </row>
    <row r="70" spans="1:9" s="4" customFormat="1" ht="26.25" customHeight="1">
      <c r="A70" s="205" t="s">
        <v>554</v>
      </c>
      <c r="B70" s="401"/>
      <c r="C70" s="117"/>
      <c r="D70" s="66"/>
      <c r="E70" s="166">
        <v>103.3</v>
      </c>
      <c r="F70" s="83">
        <f t="shared" si="7"/>
        <v>103.3</v>
      </c>
      <c r="G70" s="485" t="e">
        <f t="shared" si="8"/>
        <v>#DIV/0!</v>
      </c>
      <c r="H70" s="466" t="s">
        <v>700</v>
      </c>
      <c r="I70" s="459"/>
    </row>
    <row r="71" spans="1:9" s="4" customFormat="1" ht="26.25" customHeight="1">
      <c r="A71" s="205" t="s">
        <v>555</v>
      </c>
      <c r="B71" s="401"/>
      <c r="C71" s="117"/>
      <c r="D71" s="66"/>
      <c r="E71" s="166">
        <v>68.2</v>
      </c>
      <c r="F71" s="83">
        <f t="shared" si="7"/>
        <v>68.2</v>
      </c>
      <c r="G71" s="485" t="e">
        <f t="shared" si="8"/>
        <v>#DIV/0!</v>
      </c>
      <c r="H71" s="466" t="s">
        <v>700</v>
      </c>
      <c r="I71" s="459"/>
    </row>
    <row r="72" spans="1:9" s="4" customFormat="1" ht="26.25" customHeight="1">
      <c r="A72" s="205" t="s">
        <v>556</v>
      </c>
      <c r="B72" s="401"/>
      <c r="C72" s="117"/>
      <c r="D72" s="66"/>
      <c r="E72" s="166">
        <v>33.9</v>
      </c>
      <c r="F72" s="83">
        <f t="shared" si="7"/>
        <v>33.9</v>
      </c>
      <c r="G72" s="485" t="e">
        <f t="shared" si="8"/>
        <v>#DIV/0!</v>
      </c>
      <c r="H72" s="466" t="s">
        <v>700</v>
      </c>
      <c r="I72" s="459"/>
    </row>
    <row r="73" spans="1:9" s="4" customFormat="1" ht="24.75" customHeight="1">
      <c r="A73" s="205" t="s">
        <v>557</v>
      </c>
      <c r="B73" s="401"/>
      <c r="C73" s="117"/>
      <c r="D73" s="66"/>
      <c r="E73" s="166">
        <v>159.69999999999999</v>
      </c>
      <c r="F73" s="83">
        <f t="shared" si="7"/>
        <v>159.69999999999999</v>
      </c>
      <c r="G73" s="485" t="e">
        <f t="shared" si="8"/>
        <v>#DIV/0!</v>
      </c>
      <c r="H73" s="466" t="s">
        <v>700</v>
      </c>
      <c r="I73" s="459"/>
    </row>
    <row r="74" spans="1:9" s="4" customFormat="1" ht="36.75" customHeight="1">
      <c r="A74" s="205" t="s">
        <v>558</v>
      </c>
      <c r="B74" s="401"/>
      <c r="C74" s="117"/>
      <c r="D74" s="66"/>
      <c r="E74" s="166">
        <v>20.3</v>
      </c>
      <c r="F74" s="83">
        <f t="shared" si="7"/>
        <v>20.3</v>
      </c>
      <c r="G74" s="485" t="e">
        <f t="shared" si="8"/>
        <v>#DIV/0!</v>
      </c>
      <c r="H74" s="466" t="s">
        <v>700</v>
      </c>
      <c r="I74" s="459"/>
    </row>
    <row r="75" spans="1:9" s="4" customFormat="1" ht="26.25" customHeight="1">
      <c r="A75" s="205" t="s">
        <v>559</v>
      </c>
      <c r="B75" s="401"/>
      <c r="C75" s="117"/>
      <c r="D75" s="66"/>
      <c r="E75" s="166">
        <v>181.3</v>
      </c>
      <c r="F75" s="83">
        <f t="shared" si="7"/>
        <v>181.3</v>
      </c>
      <c r="G75" s="485" t="e">
        <f t="shared" si="8"/>
        <v>#DIV/0!</v>
      </c>
      <c r="H75" s="466" t="s">
        <v>700</v>
      </c>
      <c r="I75" s="459"/>
    </row>
    <row r="76" spans="1:9" s="4" customFormat="1" ht="40.5" customHeight="1">
      <c r="A76" s="205" t="s">
        <v>560</v>
      </c>
      <c r="B76" s="401"/>
      <c r="C76" s="117"/>
      <c r="D76" s="66"/>
      <c r="E76" s="166">
        <v>94.3</v>
      </c>
      <c r="F76" s="83">
        <f t="shared" si="7"/>
        <v>94.3</v>
      </c>
      <c r="G76" s="485" t="e">
        <f t="shared" si="8"/>
        <v>#DIV/0!</v>
      </c>
      <c r="H76" s="466" t="s">
        <v>700</v>
      </c>
      <c r="I76" s="459"/>
    </row>
    <row r="77" spans="1:9" s="4" customFormat="1" ht="26.25" customHeight="1">
      <c r="A77" s="205" t="s">
        <v>561</v>
      </c>
      <c r="B77" s="401"/>
      <c r="C77" s="117"/>
      <c r="D77" s="66"/>
      <c r="E77" s="166">
        <v>138.19999999999999</v>
      </c>
      <c r="F77" s="83">
        <f t="shared" si="7"/>
        <v>138.19999999999999</v>
      </c>
      <c r="G77" s="485" t="e">
        <f t="shared" si="8"/>
        <v>#DIV/0!</v>
      </c>
      <c r="H77" s="466" t="s">
        <v>700</v>
      </c>
      <c r="I77" s="459"/>
    </row>
    <row r="78" spans="1:9" s="4" customFormat="1" ht="26.25" customHeight="1">
      <c r="A78" s="205" t="s">
        <v>562</v>
      </c>
      <c r="B78" s="401"/>
      <c r="C78" s="117"/>
      <c r="D78" s="66"/>
      <c r="E78" s="166">
        <v>120</v>
      </c>
      <c r="F78" s="83">
        <f t="shared" si="7"/>
        <v>120</v>
      </c>
      <c r="G78" s="485" t="e">
        <f t="shared" si="8"/>
        <v>#DIV/0!</v>
      </c>
      <c r="H78" s="466" t="s">
        <v>700</v>
      </c>
      <c r="I78" s="459"/>
    </row>
    <row r="79" spans="1:9" s="4" customFormat="1" ht="26.25" customHeight="1">
      <c r="A79" s="205" t="s">
        <v>563</v>
      </c>
      <c r="B79" s="401"/>
      <c r="C79" s="117"/>
      <c r="D79" s="66"/>
      <c r="E79" s="166">
        <v>46.7</v>
      </c>
      <c r="F79" s="83">
        <f t="shared" si="7"/>
        <v>46.7</v>
      </c>
      <c r="G79" s="485" t="e">
        <f t="shared" si="8"/>
        <v>#DIV/0!</v>
      </c>
      <c r="H79" s="466" t="s">
        <v>700</v>
      </c>
      <c r="I79" s="459"/>
    </row>
    <row r="80" spans="1:9" s="4" customFormat="1" ht="26.25" customHeight="1">
      <c r="A80" s="205" t="s">
        <v>564</v>
      </c>
      <c r="B80" s="401"/>
      <c r="C80" s="117"/>
      <c r="D80" s="66"/>
      <c r="E80" s="166">
        <v>77.8</v>
      </c>
      <c r="F80" s="83">
        <f t="shared" si="7"/>
        <v>77.8</v>
      </c>
      <c r="G80" s="485" t="e">
        <f t="shared" si="8"/>
        <v>#DIV/0!</v>
      </c>
      <c r="H80" s="466" t="s">
        <v>700</v>
      </c>
      <c r="I80" s="459"/>
    </row>
    <row r="81" spans="1:9" s="4" customFormat="1" ht="38.25" customHeight="1">
      <c r="A81" s="205" t="s">
        <v>565</v>
      </c>
      <c r="B81" s="401"/>
      <c r="C81" s="117"/>
      <c r="D81" s="66"/>
      <c r="E81" s="166">
        <v>407.7</v>
      </c>
      <c r="F81" s="83">
        <f t="shared" si="7"/>
        <v>407.7</v>
      </c>
      <c r="G81" s="485" t="e">
        <f t="shared" si="8"/>
        <v>#DIV/0!</v>
      </c>
      <c r="H81" s="466" t="s">
        <v>700</v>
      </c>
      <c r="I81" s="459"/>
    </row>
    <row r="82" spans="1:9" s="4" customFormat="1" ht="26.25" customHeight="1">
      <c r="A82" s="205" t="s">
        <v>566</v>
      </c>
      <c r="B82" s="401"/>
      <c r="C82" s="117"/>
      <c r="D82" s="66"/>
      <c r="E82" s="166">
        <v>124.8</v>
      </c>
      <c r="F82" s="83">
        <f t="shared" si="7"/>
        <v>124.8</v>
      </c>
      <c r="G82" s="485" t="e">
        <f t="shared" si="8"/>
        <v>#DIV/0!</v>
      </c>
      <c r="H82" s="466" t="s">
        <v>700</v>
      </c>
      <c r="I82" s="459"/>
    </row>
    <row r="83" spans="1:9" s="4" customFormat="1" ht="26.25" customHeight="1">
      <c r="A83" s="205" t="s">
        <v>567</v>
      </c>
      <c r="B83" s="401"/>
      <c r="C83" s="117"/>
      <c r="D83" s="66"/>
      <c r="E83" s="166">
        <v>55.3</v>
      </c>
      <c r="F83" s="83">
        <f t="shared" si="7"/>
        <v>55.3</v>
      </c>
      <c r="G83" s="485" t="e">
        <f t="shared" si="8"/>
        <v>#DIV/0!</v>
      </c>
      <c r="H83" s="466" t="s">
        <v>700</v>
      </c>
      <c r="I83" s="459"/>
    </row>
    <row r="84" spans="1:9" s="4" customFormat="1" ht="26.25" customHeight="1">
      <c r="A84" s="205" t="s">
        <v>568</v>
      </c>
      <c r="B84" s="401"/>
      <c r="C84" s="117"/>
      <c r="D84" s="66"/>
      <c r="E84" s="454">
        <v>4.3</v>
      </c>
      <c r="F84" s="83">
        <f t="shared" si="7"/>
        <v>4.3</v>
      </c>
      <c r="G84" s="485" t="e">
        <f t="shared" si="8"/>
        <v>#DIV/0!</v>
      </c>
      <c r="H84" s="466" t="s">
        <v>699</v>
      </c>
      <c r="I84" s="459"/>
    </row>
    <row r="85" spans="1:9" s="4" customFormat="1" ht="26.25" customHeight="1">
      <c r="A85" s="205" t="s">
        <v>569</v>
      </c>
      <c r="B85" s="401"/>
      <c r="C85" s="117"/>
      <c r="D85" s="66"/>
      <c r="E85" s="166">
        <v>148.30000000000001</v>
      </c>
      <c r="F85" s="83">
        <f t="shared" si="7"/>
        <v>148.30000000000001</v>
      </c>
      <c r="G85" s="485" t="e">
        <f t="shared" si="8"/>
        <v>#DIV/0!</v>
      </c>
      <c r="H85" s="466" t="s">
        <v>700</v>
      </c>
      <c r="I85" s="459"/>
    </row>
    <row r="86" spans="1:9" s="458" customFormat="1" ht="33.75" customHeight="1">
      <c r="A86" s="462" t="s">
        <v>701</v>
      </c>
      <c r="B86" s="463"/>
      <c r="C86" s="464"/>
      <c r="D86" s="465"/>
      <c r="E86" s="461">
        <v>1142.5</v>
      </c>
      <c r="F86" s="460">
        <v>1142.5</v>
      </c>
      <c r="G86" s="485" t="e">
        <v>#DIV/0!</v>
      </c>
      <c r="H86" s="466" t="s">
        <v>700</v>
      </c>
      <c r="I86" s="459"/>
    </row>
    <row r="87" spans="1:9" s="458" customFormat="1" ht="45" customHeight="1">
      <c r="A87" s="462" t="s">
        <v>702</v>
      </c>
      <c r="B87" s="463"/>
      <c r="C87" s="464"/>
      <c r="D87" s="465"/>
      <c r="E87" s="461">
        <v>49.9</v>
      </c>
      <c r="F87" s="460">
        <v>49.9</v>
      </c>
      <c r="G87" s="485" t="e">
        <v>#DIV/0!</v>
      </c>
      <c r="H87" s="466" t="s">
        <v>700</v>
      </c>
      <c r="I87" s="459"/>
    </row>
    <row r="88" spans="1:9" s="4" customFormat="1" ht="42" customHeight="1">
      <c r="A88" s="387" t="s">
        <v>690</v>
      </c>
      <c r="B88" s="391">
        <v>3267</v>
      </c>
      <c r="C88" s="389">
        <f>SUM(C89:C198)</f>
        <v>618.59999999999991</v>
      </c>
      <c r="D88" s="389">
        <f>SUM(D89:D198)</f>
        <v>0</v>
      </c>
      <c r="E88" s="389">
        <f>SUM(E89:E198)</f>
        <v>2680.5999999999995</v>
      </c>
      <c r="F88" s="389">
        <f t="shared" si="7"/>
        <v>2680.5999999999995</v>
      </c>
      <c r="G88" s="455" t="e">
        <f t="shared" si="8"/>
        <v>#DIV/0!</v>
      </c>
      <c r="H88" s="456"/>
    </row>
    <row r="89" spans="1:9" s="4" customFormat="1" ht="26.25" customHeight="1">
      <c r="A89" s="19" t="s">
        <v>211</v>
      </c>
      <c r="B89" s="401"/>
      <c r="C89" s="166">
        <v>1.6</v>
      </c>
      <c r="D89" s="117"/>
      <c r="E89" s="117"/>
      <c r="F89" s="83">
        <f t="shared" si="7"/>
        <v>0</v>
      </c>
      <c r="G89" s="485" t="e">
        <f t="shared" si="8"/>
        <v>#DIV/0!</v>
      </c>
      <c r="H89" s="456"/>
    </row>
    <row r="90" spans="1:9" s="4" customFormat="1" ht="26.25" customHeight="1">
      <c r="A90" s="16" t="s">
        <v>370</v>
      </c>
      <c r="B90" s="401"/>
      <c r="C90" s="166">
        <v>11.2</v>
      </c>
      <c r="D90" s="117"/>
      <c r="E90" s="117"/>
      <c r="F90" s="83">
        <f t="shared" ref="F90:F153" si="9">E90-D90</f>
        <v>0</v>
      </c>
      <c r="G90" s="485" t="e">
        <f t="shared" ref="G90:G153" si="10">(E90/D90)*100</f>
        <v>#DIV/0!</v>
      </c>
    </row>
    <row r="91" spans="1:9" s="4" customFormat="1" ht="26.25" customHeight="1">
      <c r="A91" s="16" t="s">
        <v>371</v>
      </c>
      <c r="B91" s="401"/>
      <c r="C91" s="166">
        <v>2.5</v>
      </c>
      <c r="D91" s="117"/>
      <c r="E91" s="117"/>
      <c r="F91" s="83">
        <f t="shared" si="9"/>
        <v>0</v>
      </c>
      <c r="G91" s="485" t="e">
        <f t="shared" si="10"/>
        <v>#DIV/0!</v>
      </c>
    </row>
    <row r="92" spans="1:9" s="4" customFormat="1" ht="40.5" customHeight="1">
      <c r="A92" s="16" t="s">
        <v>372</v>
      </c>
      <c r="B92" s="401"/>
      <c r="C92" s="166">
        <v>0.9</v>
      </c>
      <c r="D92" s="117"/>
      <c r="E92" s="117"/>
      <c r="F92" s="83">
        <f t="shared" si="9"/>
        <v>0</v>
      </c>
      <c r="G92" s="485" t="e">
        <f t="shared" si="10"/>
        <v>#DIV/0!</v>
      </c>
    </row>
    <row r="93" spans="1:9" s="4" customFormat="1" ht="26.25" customHeight="1">
      <c r="A93" s="16" t="s">
        <v>373</v>
      </c>
      <c r="B93" s="401"/>
      <c r="C93" s="166">
        <v>1.3</v>
      </c>
      <c r="D93" s="117"/>
      <c r="E93" s="117"/>
      <c r="F93" s="83">
        <f t="shared" si="9"/>
        <v>0</v>
      </c>
      <c r="G93" s="485" t="e">
        <f t="shared" si="10"/>
        <v>#DIV/0!</v>
      </c>
    </row>
    <row r="94" spans="1:9" s="4" customFormat="1" ht="26.25" customHeight="1">
      <c r="A94" s="16" t="s">
        <v>483</v>
      </c>
      <c r="B94" s="401"/>
      <c r="C94" s="166">
        <v>0.5</v>
      </c>
      <c r="D94" s="117"/>
      <c r="E94" s="117"/>
      <c r="F94" s="83">
        <f t="shared" si="9"/>
        <v>0</v>
      </c>
      <c r="G94" s="485" t="e">
        <f t="shared" si="10"/>
        <v>#DIV/0!</v>
      </c>
    </row>
    <row r="95" spans="1:9" s="4" customFormat="1" ht="26.25" customHeight="1">
      <c r="A95" s="16" t="s">
        <v>374</v>
      </c>
      <c r="B95" s="401"/>
      <c r="C95" s="166">
        <v>1.8</v>
      </c>
      <c r="D95" s="117"/>
      <c r="E95" s="117"/>
      <c r="F95" s="83">
        <f t="shared" si="9"/>
        <v>0</v>
      </c>
      <c r="G95" s="485" t="e">
        <f t="shared" si="10"/>
        <v>#DIV/0!</v>
      </c>
    </row>
    <row r="96" spans="1:9" s="4" customFormat="1" ht="26.25" customHeight="1">
      <c r="A96" s="19" t="s">
        <v>484</v>
      </c>
      <c r="B96" s="401"/>
      <c r="C96" s="166">
        <v>16.8</v>
      </c>
      <c r="D96" s="117"/>
      <c r="E96" s="117"/>
      <c r="F96" s="83">
        <f t="shared" si="9"/>
        <v>0</v>
      </c>
      <c r="G96" s="485" t="e">
        <f t="shared" si="10"/>
        <v>#DIV/0!</v>
      </c>
    </row>
    <row r="97" spans="1:7" s="4" customFormat="1" ht="26.25" customHeight="1">
      <c r="A97" s="19" t="s">
        <v>375</v>
      </c>
      <c r="B97" s="401"/>
      <c r="C97" s="166">
        <v>16.600000000000001</v>
      </c>
      <c r="D97" s="117"/>
      <c r="E97" s="117"/>
      <c r="F97" s="83">
        <f t="shared" si="9"/>
        <v>0</v>
      </c>
      <c r="G97" s="485" t="e">
        <f t="shared" si="10"/>
        <v>#DIV/0!</v>
      </c>
    </row>
    <row r="98" spans="1:7" s="4" customFormat="1" ht="26.25" customHeight="1">
      <c r="A98" s="16" t="s">
        <v>486</v>
      </c>
      <c r="B98" s="401"/>
      <c r="C98" s="166">
        <v>40.200000000000003</v>
      </c>
      <c r="D98" s="117"/>
      <c r="E98" s="117"/>
      <c r="F98" s="83">
        <f t="shared" si="9"/>
        <v>0</v>
      </c>
      <c r="G98" s="485" t="e">
        <f t="shared" si="10"/>
        <v>#DIV/0!</v>
      </c>
    </row>
    <row r="99" spans="1:7" s="4" customFormat="1" ht="26.25" customHeight="1">
      <c r="A99" s="16" t="s">
        <v>387</v>
      </c>
      <c r="B99" s="401"/>
      <c r="C99" s="166">
        <v>31.5</v>
      </c>
      <c r="D99" s="117"/>
      <c r="E99" s="117"/>
      <c r="F99" s="83">
        <f t="shared" si="9"/>
        <v>0</v>
      </c>
      <c r="G99" s="485" t="e">
        <f t="shared" si="10"/>
        <v>#DIV/0!</v>
      </c>
    </row>
    <row r="100" spans="1:7" s="4" customFormat="1" ht="26.25" customHeight="1">
      <c r="A100" s="19" t="s">
        <v>392</v>
      </c>
      <c r="B100" s="401"/>
      <c r="C100" s="166">
        <v>12.5</v>
      </c>
      <c r="D100" s="117"/>
      <c r="E100" s="117"/>
      <c r="F100" s="83">
        <f t="shared" si="9"/>
        <v>0</v>
      </c>
      <c r="G100" s="485" t="e">
        <f t="shared" si="10"/>
        <v>#DIV/0!</v>
      </c>
    </row>
    <row r="101" spans="1:7" s="4" customFormat="1" ht="26.25" customHeight="1">
      <c r="A101" s="16" t="s">
        <v>491</v>
      </c>
      <c r="B101" s="401"/>
      <c r="C101" s="166">
        <v>7</v>
      </c>
      <c r="D101" s="117"/>
      <c r="E101" s="117"/>
      <c r="F101" s="83">
        <f t="shared" si="9"/>
        <v>0</v>
      </c>
      <c r="G101" s="485" t="e">
        <f t="shared" si="10"/>
        <v>#DIV/0!</v>
      </c>
    </row>
    <row r="102" spans="1:7" s="4" customFormat="1" ht="26.25" customHeight="1">
      <c r="A102" s="19" t="s">
        <v>393</v>
      </c>
      <c r="B102" s="401"/>
      <c r="C102" s="166">
        <v>8.3000000000000007</v>
      </c>
      <c r="D102" s="117"/>
      <c r="E102" s="117"/>
      <c r="F102" s="83">
        <f t="shared" si="9"/>
        <v>0</v>
      </c>
      <c r="G102" s="485" t="e">
        <f t="shared" si="10"/>
        <v>#DIV/0!</v>
      </c>
    </row>
    <row r="103" spans="1:7" s="4" customFormat="1" ht="26.25" customHeight="1">
      <c r="A103" s="16" t="s">
        <v>492</v>
      </c>
      <c r="B103" s="401"/>
      <c r="C103" s="166">
        <v>39.6</v>
      </c>
      <c r="D103" s="117"/>
      <c r="E103" s="117"/>
      <c r="F103" s="83">
        <f t="shared" si="9"/>
        <v>0</v>
      </c>
      <c r="G103" s="485" t="e">
        <f t="shared" si="10"/>
        <v>#DIV/0!</v>
      </c>
    </row>
    <row r="104" spans="1:7" s="4" customFormat="1" ht="26.25" customHeight="1">
      <c r="A104" s="16" t="s">
        <v>493</v>
      </c>
      <c r="B104" s="401"/>
      <c r="C104" s="166">
        <v>7.4</v>
      </c>
      <c r="D104" s="117"/>
      <c r="E104" s="117"/>
      <c r="F104" s="83">
        <f t="shared" si="9"/>
        <v>0</v>
      </c>
      <c r="G104" s="485" t="e">
        <f t="shared" si="10"/>
        <v>#DIV/0!</v>
      </c>
    </row>
    <row r="105" spans="1:7" s="4" customFormat="1" ht="26.25" customHeight="1">
      <c r="A105" s="16" t="s">
        <v>494</v>
      </c>
      <c r="B105" s="401"/>
      <c r="C105" s="166">
        <v>6.3</v>
      </c>
      <c r="D105" s="117"/>
      <c r="E105" s="117"/>
      <c r="F105" s="83">
        <f t="shared" si="9"/>
        <v>0</v>
      </c>
      <c r="G105" s="485" t="e">
        <f t="shared" si="10"/>
        <v>#DIV/0!</v>
      </c>
    </row>
    <row r="106" spans="1:7" s="4" customFormat="1" ht="38.25" customHeight="1">
      <c r="A106" s="16" t="s">
        <v>495</v>
      </c>
      <c r="B106" s="401"/>
      <c r="C106" s="166">
        <v>12</v>
      </c>
      <c r="D106" s="117"/>
      <c r="E106" s="117"/>
      <c r="F106" s="83">
        <f t="shared" si="9"/>
        <v>0</v>
      </c>
      <c r="G106" s="485" t="e">
        <f t="shared" si="10"/>
        <v>#DIV/0!</v>
      </c>
    </row>
    <row r="107" spans="1:7" s="4" customFormat="1" ht="26.25" customHeight="1">
      <c r="A107" s="16" t="s">
        <v>496</v>
      </c>
      <c r="B107" s="401"/>
      <c r="C107" s="166">
        <v>1.8</v>
      </c>
      <c r="D107" s="117"/>
      <c r="E107" s="117"/>
      <c r="F107" s="83">
        <f t="shared" si="9"/>
        <v>0</v>
      </c>
      <c r="G107" s="485" t="e">
        <f t="shared" si="10"/>
        <v>#DIV/0!</v>
      </c>
    </row>
    <row r="108" spans="1:7" s="4" customFormat="1" ht="26.25" customHeight="1">
      <c r="A108" s="16" t="s">
        <v>497</v>
      </c>
      <c r="B108" s="401"/>
      <c r="C108" s="166">
        <v>10.3</v>
      </c>
      <c r="D108" s="117"/>
      <c r="E108" s="117"/>
      <c r="F108" s="83">
        <f t="shared" si="9"/>
        <v>0</v>
      </c>
      <c r="G108" s="485" t="e">
        <f t="shared" si="10"/>
        <v>#DIV/0!</v>
      </c>
    </row>
    <row r="109" spans="1:7" s="4" customFormat="1" ht="26.25" customHeight="1">
      <c r="A109" s="16" t="s">
        <v>498</v>
      </c>
      <c r="B109" s="401"/>
      <c r="C109" s="166">
        <v>6.2</v>
      </c>
      <c r="D109" s="117"/>
      <c r="E109" s="117"/>
      <c r="F109" s="83">
        <f t="shared" si="9"/>
        <v>0</v>
      </c>
      <c r="G109" s="485" t="e">
        <f t="shared" si="10"/>
        <v>#DIV/0!</v>
      </c>
    </row>
    <row r="110" spans="1:7" s="4" customFormat="1" ht="26.25" customHeight="1">
      <c r="A110" s="16" t="s">
        <v>499</v>
      </c>
      <c r="B110" s="401"/>
      <c r="C110" s="166">
        <v>14.7</v>
      </c>
      <c r="D110" s="117"/>
      <c r="E110" s="117"/>
      <c r="F110" s="83">
        <f t="shared" si="9"/>
        <v>0</v>
      </c>
      <c r="G110" s="485" t="e">
        <f t="shared" si="10"/>
        <v>#DIV/0!</v>
      </c>
    </row>
    <row r="111" spans="1:7" s="4" customFormat="1" ht="39" customHeight="1">
      <c r="A111" s="16" t="s">
        <v>500</v>
      </c>
      <c r="B111" s="401"/>
      <c r="C111" s="166">
        <v>17.600000000000001</v>
      </c>
      <c r="D111" s="117"/>
      <c r="E111" s="117"/>
      <c r="F111" s="83">
        <f t="shared" si="9"/>
        <v>0</v>
      </c>
      <c r="G111" s="485" t="e">
        <f t="shared" si="10"/>
        <v>#DIV/0!</v>
      </c>
    </row>
    <row r="112" spans="1:7" s="4" customFormat="1" ht="26.25" customHeight="1">
      <c r="A112" s="16" t="s">
        <v>501</v>
      </c>
      <c r="B112" s="401"/>
      <c r="C112" s="166">
        <v>26.4</v>
      </c>
      <c r="D112" s="117"/>
      <c r="E112" s="117"/>
      <c r="F112" s="83">
        <f t="shared" si="9"/>
        <v>0</v>
      </c>
      <c r="G112" s="485" t="e">
        <f t="shared" si="10"/>
        <v>#DIV/0!</v>
      </c>
    </row>
    <row r="113" spans="1:8" s="4" customFormat="1" ht="26.25" customHeight="1">
      <c r="A113" s="16" t="s">
        <v>502</v>
      </c>
      <c r="B113" s="401"/>
      <c r="C113" s="166">
        <v>9.6999999999999993</v>
      </c>
      <c r="D113" s="117"/>
      <c r="E113" s="117"/>
      <c r="F113" s="83">
        <f t="shared" si="9"/>
        <v>0</v>
      </c>
      <c r="G113" s="485" t="e">
        <f t="shared" si="10"/>
        <v>#DIV/0!</v>
      </c>
    </row>
    <row r="114" spans="1:8" s="4" customFormat="1" ht="26.25" customHeight="1">
      <c r="A114" s="16" t="s">
        <v>503</v>
      </c>
      <c r="B114" s="401"/>
      <c r="C114" s="166">
        <v>6.2</v>
      </c>
      <c r="D114" s="117"/>
      <c r="E114" s="117"/>
      <c r="F114" s="83">
        <f t="shared" si="9"/>
        <v>0</v>
      </c>
      <c r="G114" s="485" t="e">
        <f t="shared" si="10"/>
        <v>#DIV/0!</v>
      </c>
    </row>
    <row r="115" spans="1:8" s="4" customFormat="1" ht="26.25" customHeight="1">
      <c r="A115" s="16" t="s">
        <v>504</v>
      </c>
      <c r="B115" s="401"/>
      <c r="C115" s="166">
        <v>45.8</v>
      </c>
      <c r="D115" s="117"/>
      <c r="E115" s="117"/>
      <c r="F115" s="83">
        <f t="shared" si="9"/>
        <v>0</v>
      </c>
      <c r="G115" s="485" t="e">
        <f t="shared" si="10"/>
        <v>#DIV/0!</v>
      </c>
    </row>
    <row r="116" spans="1:8" s="4" customFormat="1" ht="39.75" customHeight="1">
      <c r="A116" s="16" t="s">
        <v>505</v>
      </c>
      <c r="B116" s="401"/>
      <c r="C116" s="166">
        <v>31.8</v>
      </c>
      <c r="D116" s="117"/>
      <c r="E116" s="38"/>
      <c r="F116" s="83">
        <f t="shared" si="9"/>
        <v>0</v>
      </c>
      <c r="G116" s="485" t="e">
        <f t="shared" si="10"/>
        <v>#DIV/0!</v>
      </c>
    </row>
    <row r="117" spans="1:8" s="4" customFormat="1" ht="42.75" customHeight="1">
      <c r="A117" s="16" t="s">
        <v>506</v>
      </c>
      <c r="B117" s="401"/>
      <c r="C117" s="166">
        <v>14.8</v>
      </c>
      <c r="D117" s="117"/>
      <c r="E117" s="38"/>
      <c r="F117" s="83">
        <f t="shared" si="9"/>
        <v>0</v>
      </c>
      <c r="G117" s="485" t="e">
        <f t="shared" si="10"/>
        <v>#DIV/0!</v>
      </c>
    </row>
    <row r="118" spans="1:8" s="4" customFormat="1" ht="56.25" customHeight="1">
      <c r="A118" s="16" t="s">
        <v>507</v>
      </c>
      <c r="B118" s="401"/>
      <c r="C118" s="166">
        <v>18.3</v>
      </c>
      <c r="D118" s="117"/>
      <c r="E118" s="38"/>
      <c r="F118" s="83">
        <f t="shared" si="9"/>
        <v>0</v>
      </c>
      <c r="G118" s="485" t="e">
        <f t="shared" si="10"/>
        <v>#DIV/0!</v>
      </c>
    </row>
    <row r="119" spans="1:8" s="4" customFormat="1" ht="26.25" customHeight="1">
      <c r="A119" s="16" t="s">
        <v>508</v>
      </c>
      <c r="B119" s="401"/>
      <c r="C119" s="166">
        <v>23.4</v>
      </c>
      <c r="D119" s="117"/>
      <c r="E119" s="38"/>
      <c r="F119" s="83">
        <f t="shared" si="9"/>
        <v>0</v>
      </c>
      <c r="G119" s="485" t="e">
        <f t="shared" si="10"/>
        <v>#DIV/0!</v>
      </c>
    </row>
    <row r="120" spans="1:8" s="4" customFormat="1" ht="36.75" customHeight="1">
      <c r="A120" s="16" t="s">
        <v>518</v>
      </c>
      <c r="B120" s="401"/>
      <c r="C120" s="166">
        <v>160.80000000000001</v>
      </c>
      <c r="D120" s="117"/>
      <c r="E120" s="13"/>
      <c r="F120" s="83">
        <f t="shared" si="9"/>
        <v>0</v>
      </c>
      <c r="G120" s="485" t="e">
        <f t="shared" si="10"/>
        <v>#DIV/0!</v>
      </c>
    </row>
    <row r="121" spans="1:8" s="4" customFormat="1" ht="26.25" customHeight="1">
      <c r="A121" s="16" t="s">
        <v>691</v>
      </c>
      <c r="B121" s="401"/>
      <c r="C121" s="166">
        <v>12.8</v>
      </c>
      <c r="D121" s="117"/>
      <c r="E121" s="13"/>
      <c r="F121" s="83">
        <f t="shared" si="9"/>
        <v>0</v>
      </c>
      <c r="G121" s="485" t="e">
        <f t="shared" si="10"/>
        <v>#DIV/0!</v>
      </c>
    </row>
    <row r="122" spans="1:8" s="4" customFormat="1" ht="26.25" customHeight="1">
      <c r="A122" s="211" t="s">
        <v>279</v>
      </c>
      <c r="B122" s="401"/>
      <c r="C122" s="166"/>
      <c r="D122" s="117"/>
      <c r="E122" s="166">
        <v>14.1</v>
      </c>
      <c r="F122" s="83">
        <f t="shared" si="9"/>
        <v>14.1</v>
      </c>
      <c r="G122" s="485" t="e">
        <f t="shared" si="10"/>
        <v>#DIV/0!</v>
      </c>
      <c r="H122" s="468" t="s">
        <v>687</v>
      </c>
    </row>
    <row r="123" spans="1:8" s="4" customFormat="1" ht="26.25" customHeight="1">
      <c r="A123" s="211" t="s">
        <v>280</v>
      </c>
      <c r="B123" s="401"/>
      <c r="C123" s="166"/>
      <c r="D123" s="117"/>
      <c r="E123" s="166">
        <v>8.1999999999999993</v>
      </c>
      <c r="F123" s="83">
        <f t="shared" si="9"/>
        <v>8.1999999999999993</v>
      </c>
      <c r="G123" s="485" t="e">
        <f t="shared" si="10"/>
        <v>#DIV/0!</v>
      </c>
      <c r="H123" s="468" t="s">
        <v>688</v>
      </c>
    </row>
    <row r="124" spans="1:8" s="4" customFormat="1" ht="26.25" customHeight="1">
      <c r="A124" s="211" t="s">
        <v>300</v>
      </c>
      <c r="B124" s="401"/>
      <c r="C124" s="166"/>
      <c r="D124" s="117"/>
      <c r="E124" s="166">
        <v>4.5</v>
      </c>
      <c r="F124" s="83">
        <f t="shared" si="9"/>
        <v>4.5</v>
      </c>
      <c r="G124" s="485" t="e">
        <f t="shared" si="10"/>
        <v>#DIV/0!</v>
      </c>
      <c r="H124" s="468" t="s">
        <v>687</v>
      </c>
    </row>
    <row r="125" spans="1:8" s="4" customFormat="1" ht="26.25" customHeight="1">
      <c r="A125" s="205" t="s">
        <v>305</v>
      </c>
      <c r="B125" s="401"/>
      <c r="C125" s="166"/>
      <c r="D125" s="117"/>
      <c r="E125" s="166">
        <v>17.399999999999999</v>
      </c>
      <c r="F125" s="83">
        <f t="shared" si="9"/>
        <v>17.399999999999999</v>
      </c>
      <c r="G125" s="485" t="e">
        <f t="shared" si="10"/>
        <v>#DIV/0!</v>
      </c>
      <c r="H125" s="468" t="s">
        <v>688</v>
      </c>
    </row>
    <row r="126" spans="1:8" s="4" customFormat="1" ht="26.25" customHeight="1">
      <c r="A126" s="205" t="s">
        <v>439</v>
      </c>
      <c r="B126" s="401"/>
      <c r="C126" s="166"/>
      <c r="D126" s="117"/>
      <c r="E126" s="166">
        <v>29.8</v>
      </c>
      <c r="F126" s="83">
        <f t="shared" si="9"/>
        <v>29.8</v>
      </c>
      <c r="G126" s="485" t="e">
        <f t="shared" si="10"/>
        <v>#DIV/0!</v>
      </c>
      <c r="H126" s="468" t="s">
        <v>688</v>
      </c>
    </row>
    <row r="127" spans="1:8" s="4" customFormat="1" ht="26.25" customHeight="1">
      <c r="A127" s="16" t="s">
        <v>399</v>
      </c>
      <c r="B127" s="401"/>
      <c r="C127" s="166"/>
      <c r="D127" s="117"/>
      <c r="E127" s="166">
        <v>12.4</v>
      </c>
      <c r="F127" s="83">
        <f t="shared" si="9"/>
        <v>12.4</v>
      </c>
      <c r="G127" s="485" t="e">
        <f t="shared" si="10"/>
        <v>#DIV/0!</v>
      </c>
      <c r="H127" s="468" t="s">
        <v>688</v>
      </c>
    </row>
    <row r="128" spans="1:8" s="4" customFormat="1" ht="38.25" customHeight="1">
      <c r="A128" s="205" t="s">
        <v>400</v>
      </c>
      <c r="B128" s="401"/>
      <c r="C128" s="166"/>
      <c r="D128" s="117"/>
      <c r="E128" s="166">
        <v>5.2</v>
      </c>
      <c r="F128" s="83">
        <f t="shared" si="9"/>
        <v>5.2</v>
      </c>
      <c r="G128" s="485" t="e">
        <f t="shared" si="10"/>
        <v>#DIV/0!</v>
      </c>
      <c r="H128" s="468" t="s">
        <v>688</v>
      </c>
    </row>
    <row r="129" spans="1:8" s="4" customFormat="1" ht="27.75" customHeight="1">
      <c r="A129" s="16" t="s">
        <v>401</v>
      </c>
      <c r="B129" s="401"/>
      <c r="C129" s="166"/>
      <c r="D129" s="117"/>
      <c r="E129" s="166">
        <v>12.4</v>
      </c>
      <c r="F129" s="83">
        <f t="shared" si="9"/>
        <v>12.4</v>
      </c>
      <c r="G129" s="485" t="e">
        <f t="shared" si="10"/>
        <v>#DIV/0!</v>
      </c>
      <c r="H129" s="468" t="s">
        <v>688</v>
      </c>
    </row>
    <row r="130" spans="1:8" s="4" customFormat="1" ht="36.75" customHeight="1">
      <c r="A130" s="205" t="s">
        <v>402</v>
      </c>
      <c r="B130" s="401"/>
      <c r="C130" s="166"/>
      <c r="D130" s="117"/>
      <c r="E130" s="166">
        <v>5.2</v>
      </c>
      <c r="F130" s="83">
        <f t="shared" si="9"/>
        <v>5.2</v>
      </c>
      <c r="G130" s="485" t="e">
        <f t="shared" si="10"/>
        <v>#DIV/0!</v>
      </c>
      <c r="H130" s="468" t="s">
        <v>688</v>
      </c>
    </row>
    <row r="131" spans="1:8" s="4" customFormat="1" ht="26.25" customHeight="1">
      <c r="A131" s="16" t="s">
        <v>308</v>
      </c>
      <c r="B131" s="401"/>
      <c r="C131" s="166"/>
      <c r="D131" s="117"/>
      <c r="E131" s="166">
        <v>7</v>
      </c>
      <c r="F131" s="83">
        <f t="shared" si="9"/>
        <v>7</v>
      </c>
      <c r="G131" s="485" t="e">
        <f t="shared" si="10"/>
        <v>#DIV/0!</v>
      </c>
      <c r="H131" s="468" t="s">
        <v>688</v>
      </c>
    </row>
    <row r="132" spans="1:8" s="4" customFormat="1" ht="26.25" customHeight="1">
      <c r="A132" s="205" t="s">
        <v>309</v>
      </c>
      <c r="B132" s="401"/>
      <c r="C132" s="166"/>
      <c r="D132" s="117"/>
      <c r="E132" s="166">
        <v>2.9</v>
      </c>
      <c r="F132" s="83">
        <f t="shared" si="9"/>
        <v>2.9</v>
      </c>
      <c r="G132" s="485" t="e">
        <f t="shared" si="10"/>
        <v>#DIV/0!</v>
      </c>
      <c r="H132" s="468" t="s">
        <v>688</v>
      </c>
    </row>
    <row r="133" spans="1:8" s="4" customFormat="1" ht="26.25" customHeight="1">
      <c r="A133" s="211" t="s">
        <v>441</v>
      </c>
      <c r="B133" s="401"/>
      <c r="C133" s="166"/>
      <c r="D133" s="117"/>
      <c r="E133" s="166">
        <v>99</v>
      </c>
      <c r="F133" s="83">
        <f t="shared" si="9"/>
        <v>99</v>
      </c>
      <c r="G133" s="485" t="e">
        <f t="shared" si="10"/>
        <v>#DIV/0!</v>
      </c>
      <c r="H133" s="468" t="s">
        <v>687</v>
      </c>
    </row>
    <row r="134" spans="1:8" s="4" customFormat="1" ht="26.25" customHeight="1">
      <c r="A134" s="205" t="s">
        <v>442</v>
      </c>
      <c r="B134" s="401"/>
      <c r="C134" s="166"/>
      <c r="D134" s="117"/>
      <c r="E134" s="166">
        <v>3.4</v>
      </c>
      <c r="F134" s="83">
        <f t="shared" si="9"/>
        <v>3.4</v>
      </c>
      <c r="G134" s="485" t="e">
        <f t="shared" si="10"/>
        <v>#DIV/0!</v>
      </c>
      <c r="H134" s="468" t="s">
        <v>688</v>
      </c>
    </row>
    <row r="135" spans="1:8" s="4" customFormat="1" ht="26.25" customHeight="1">
      <c r="A135" s="211" t="s">
        <v>408</v>
      </c>
      <c r="B135" s="401"/>
      <c r="C135" s="166"/>
      <c r="D135" s="117"/>
      <c r="E135" s="166">
        <v>5.3</v>
      </c>
      <c r="F135" s="83">
        <f t="shared" si="9"/>
        <v>5.3</v>
      </c>
      <c r="G135" s="485" t="e">
        <f t="shared" si="10"/>
        <v>#DIV/0!</v>
      </c>
      <c r="H135" s="468" t="s">
        <v>687</v>
      </c>
    </row>
    <row r="136" spans="1:8" s="4" customFormat="1" ht="26.25" customHeight="1">
      <c r="A136" s="211" t="s">
        <v>409</v>
      </c>
      <c r="B136" s="401"/>
      <c r="C136" s="166"/>
      <c r="D136" s="117"/>
      <c r="E136" s="166">
        <v>3.4</v>
      </c>
      <c r="F136" s="83">
        <f t="shared" si="9"/>
        <v>3.4</v>
      </c>
      <c r="G136" s="485" t="e">
        <f t="shared" si="10"/>
        <v>#DIV/0!</v>
      </c>
      <c r="H136" s="468" t="s">
        <v>688</v>
      </c>
    </row>
    <row r="137" spans="1:8" s="4" customFormat="1" ht="26.25" customHeight="1">
      <c r="A137" s="211" t="s">
        <v>411</v>
      </c>
      <c r="B137" s="401"/>
      <c r="C137" s="166"/>
      <c r="D137" s="117"/>
      <c r="E137" s="166">
        <v>18.399999999999999</v>
      </c>
      <c r="F137" s="83">
        <f t="shared" si="9"/>
        <v>18.399999999999999</v>
      </c>
      <c r="G137" s="485" t="e">
        <f t="shared" si="10"/>
        <v>#DIV/0!</v>
      </c>
      <c r="H137" s="468" t="s">
        <v>688</v>
      </c>
    </row>
    <row r="138" spans="1:8" s="4" customFormat="1" ht="26.25" customHeight="1">
      <c r="A138" s="211" t="s">
        <v>415</v>
      </c>
      <c r="B138" s="401"/>
      <c r="C138" s="166"/>
      <c r="D138" s="117"/>
      <c r="E138" s="166">
        <v>16</v>
      </c>
      <c r="F138" s="83">
        <f t="shared" si="9"/>
        <v>16</v>
      </c>
      <c r="G138" s="485" t="e">
        <f t="shared" si="10"/>
        <v>#DIV/0!</v>
      </c>
      <c r="H138" s="468" t="s">
        <v>687</v>
      </c>
    </row>
    <row r="139" spans="1:8" s="4" customFormat="1" ht="26.25" customHeight="1">
      <c r="A139" s="211" t="s">
        <v>448</v>
      </c>
      <c r="B139" s="401"/>
      <c r="C139" s="166"/>
      <c r="D139" s="117"/>
      <c r="E139" s="454">
        <v>287.60000000000002</v>
      </c>
      <c r="F139" s="83">
        <f t="shared" si="9"/>
        <v>287.60000000000002</v>
      </c>
      <c r="G139" s="485" t="e">
        <f t="shared" si="10"/>
        <v>#DIV/0!</v>
      </c>
      <c r="H139" s="468" t="s">
        <v>703</v>
      </c>
    </row>
    <row r="140" spans="1:8" s="4" customFormat="1" ht="26.25" customHeight="1">
      <c r="A140" s="211" t="s">
        <v>449</v>
      </c>
      <c r="B140" s="401"/>
      <c r="C140" s="166"/>
      <c r="D140" s="117"/>
      <c r="E140" s="454">
        <v>185.5</v>
      </c>
      <c r="F140" s="83">
        <f t="shared" si="9"/>
        <v>185.5</v>
      </c>
      <c r="G140" s="485" t="e">
        <f t="shared" si="10"/>
        <v>#DIV/0!</v>
      </c>
      <c r="H140" s="468" t="s">
        <v>703</v>
      </c>
    </row>
    <row r="141" spans="1:8" s="4" customFormat="1" ht="26.25" customHeight="1">
      <c r="A141" s="205" t="s">
        <v>450</v>
      </c>
      <c r="B141" s="401"/>
      <c r="C141" s="166"/>
      <c r="D141" s="117"/>
      <c r="E141" s="454">
        <v>144.30000000000001</v>
      </c>
      <c r="F141" s="83">
        <f t="shared" si="9"/>
        <v>144.30000000000001</v>
      </c>
      <c r="G141" s="485" t="e">
        <f t="shared" si="10"/>
        <v>#DIV/0!</v>
      </c>
      <c r="H141" s="468" t="s">
        <v>703</v>
      </c>
    </row>
    <row r="142" spans="1:8" s="4" customFormat="1" ht="41.25" customHeight="1">
      <c r="A142" s="205" t="s">
        <v>451</v>
      </c>
      <c r="B142" s="401"/>
      <c r="C142" s="166"/>
      <c r="D142" s="117"/>
      <c r="E142" s="454">
        <v>226.1</v>
      </c>
      <c r="F142" s="83">
        <f t="shared" si="9"/>
        <v>226.1</v>
      </c>
      <c r="G142" s="485" t="e">
        <f t="shared" si="10"/>
        <v>#DIV/0!</v>
      </c>
      <c r="H142" s="468" t="s">
        <v>703</v>
      </c>
    </row>
    <row r="143" spans="1:8" s="4" customFormat="1" ht="40.5" customHeight="1">
      <c r="A143" s="205" t="s">
        <v>452</v>
      </c>
      <c r="B143" s="401"/>
      <c r="C143" s="166"/>
      <c r="D143" s="117"/>
      <c r="E143" s="454">
        <v>51</v>
      </c>
      <c r="F143" s="83">
        <f t="shared" si="9"/>
        <v>51</v>
      </c>
      <c r="G143" s="485" t="e">
        <f t="shared" si="10"/>
        <v>#DIV/0!</v>
      </c>
      <c r="H143" s="468" t="s">
        <v>703</v>
      </c>
    </row>
    <row r="144" spans="1:8" s="4" customFormat="1" ht="26.25" customHeight="1">
      <c r="A144" s="205" t="s">
        <v>453</v>
      </c>
      <c r="B144" s="401"/>
      <c r="C144" s="166"/>
      <c r="D144" s="117"/>
      <c r="E144" s="454">
        <v>44.4</v>
      </c>
      <c r="F144" s="83">
        <f t="shared" si="9"/>
        <v>44.4</v>
      </c>
      <c r="G144" s="485" t="e">
        <f t="shared" si="10"/>
        <v>#DIV/0!</v>
      </c>
      <c r="H144" s="468" t="s">
        <v>703</v>
      </c>
    </row>
    <row r="145" spans="1:8" s="4" customFormat="1" ht="26.25" customHeight="1">
      <c r="A145" s="211" t="s">
        <v>416</v>
      </c>
      <c r="B145" s="401"/>
      <c r="C145" s="166"/>
      <c r="D145" s="117"/>
      <c r="E145" s="454">
        <v>8.1</v>
      </c>
      <c r="F145" s="83">
        <f t="shared" si="9"/>
        <v>8.1</v>
      </c>
      <c r="G145" s="485" t="e">
        <f t="shared" si="10"/>
        <v>#DIV/0!</v>
      </c>
      <c r="H145" s="468" t="s">
        <v>703</v>
      </c>
    </row>
    <row r="146" spans="1:8" s="4" customFormat="1" ht="26.25" customHeight="1">
      <c r="A146" s="211" t="s">
        <v>417</v>
      </c>
      <c r="B146" s="401"/>
      <c r="C146" s="166"/>
      <c r="D146" s="117"/>
      <c r="E146" s="454">
        <v>2</v>
      </c>
      <c r="F146" s="83">
        <f t="shared" si="9"/>
        <v>2</v>
      </c>
      <c r="G146" s="485" t="e">
        <f t="shared" si="10"/>
        <v>#DIV/0!</v>
      </c>
      <c r="H146" s="468" t="s">
        <v>699</v>
      </c>
    </row>
    <row r="147" spans="1:8" s="4" customFormat="1" ht="26.25" customHeight="1">
      <c r="A147" s="211" t="s">
        <v>570</v>
      </c>
      <c r="B147" s="401"/>
      <c r="C147" s="166"/>
      <c r="D147" s="117"/>
      <c r="E147" s="166">
        <v>1.9</v>
      </c>
      <c r="F147" s="83">
        <f t="shared" si="9"/>
        <v>1.9</v>
      </c>
      <c r="G147" s="485" t="e">
        <f t="shared" si="10"/>
        <v>#DIV/0!</v>
      </c>
      <c r="H147" s="468" t="s">
        <v>688</v>
      </c>
    </row>
    <row r="148" spans="1:8" s="4" customFormat="1" ht="26.25" customHeight="1">
      <c r="A148" s="211" t="s">
        <v>571</v>
      </c>
      <c r="B148" s="401"/>
      <c r="C148" s="166"/>
      <c r="D148" s="117"/>
      <c r="E148" s="166">
        <v>1.3</v>
      </c>
      <c r="F148" s="83">
        <f t="shared" si="9"/>
        <v>1.3</v>
      </c>
      <c r="G148" s="485" t="e">
        <f t="shared" si="10"/>
        <v>#DIV/0!</v>
      </c>
      <c r="H148" s="468" t="s">
        <v>687</v>
      </c>
    </row>
    <row r="149" spans="1:8" s="4" customFormat="1" ht="26.25" customHeight="1">
      <c r="A149" s="211" t="s">
        <v>572</v>
      </c>
      <c r="B149" s="401"/>
      <c r="C149" s="166"/>
      <c r="D149" s="117"/>
      <c r="E149" s="196">
        <v>0.8</v>
      </c>
      <c r="F149" s="83">
        <f t="shared" si="9"/>
        <v>0.8</v>
      </c>
      <c r="G149" s="485" t="e">
        <f t="shared" si="10"/>
        <v>#DIV/0!</v>
      </c>
      <c r="H149" s="468" t="s">
        <v>687</v>
      </c>
    </row>
    <row r="150" spans="1:8" s="4" customFormat="1" ht="26.25" customHeight="1">
      <c r="A150" s="211" t="s">
        <v>573</v>
      </c>
      <c r="B150" s="401"/>
      <c r="C150" s="166"/>
      <c r="D150" s="117"/>
      <c r="E150" s="166">
        <v>5.8</v>
      </c>
      <c r="F150" s="83">
        <f t="shared" si="9"/>
        <v>5.8</v>
      </c>
      <c r="G150" s="485" t="e">
        <f t="shared" si="10"/>
        <v>#DIV/0!</v>
      </c>
      <c r="H150" s="468" t="s">
        <v>687</v>
      </c>
    </row>
    <row r="151" spans="1:8" s="4" customFormat="1" ht="26.25" customHeight="1">
      <c r="A151" s="211" t="s">
        <v>577</v>
      </c>
      <c r="B151" s="401"/>
      <c r="C151" s="166"/>
      <c r="D151" s="117"/>
      <c r="E151" s="166">
        <v>4.2</v>
      </c>
      <c r="F151" s="83">
        <f t="shared" si="9"/>
        <v>4.2</v>
      </c>
      <c r="G151" s="485" t="e">
        <f t="shared" si="10"/>
        <v>#DIV/0!</v>
      </c>
      <c r="H151" s="468" t="s">
        <v>688</v>
      </c>
    </row>
    <row r="152" spans="1:8" s="4" customFormat="1" ht="30.75" customHeight="1">
      <c r="A152" s="205" t="s">
        <v>578</v>
      </c>
      <c r="B152" s="401"/>
      <c r="C152" s="166"/>
      <c r="D152" s="117"/>
      <c r="E152" s="166">
        <v>13</v>
      </c>
      <c r="F152" s="83">
        <f t="shared" si="9"/>
        <v>13</v>
      </c>
      <c r="G152" s="485" t="e">
        <f t="shared" si="10"/>
        <v>#DIV/0!</v>
      </c>
      <c r="H152" s="468" t="s">
        <v>688</v>
      </c>
    </row>
    <row r="153" spans="1:8" s="4" customFormat="1" ht="26.25" customHeight="1">
      <c r="A153" s="16" t="s">
        <v>579</v>
      </c>
      <c r="B153" s="19"/>
      <c r="C153" s="19"/>
      <c r="D153" s="19"/>
      <c r="E153" s="166">
        <v>11.4</v>
      </c>
      <c r="F153" s="83">
        <f t="shared" si="9"/>
        <v>11.4</v>
      </c>
      <c r="G153" s="485" t="e">
        <f t="shared" si="10"/>
        <v>#DIV/0!</v>
      </c>
      <c r="H153" s="468" t="s">
        <v>688</v>
      </c>
    </row>
    <row r="154" spans="1:8" s="4" customFormat="1" ht="36" customHeight="1">
      <c r="A154" s="205" t="s">
        <v>603</v>
      </c>
      <c r="B154" s="401"/>
      <c r="C154" s="166"/>
      <c r="D154" s="117"/>
      <c r="E154" s="166">
        <v>11.2</v>
      </c>
      <c r="F154" s="83">
        <f t="shared" ref="F154:F210" si="11">E154-D154</f>
        <v>11.2</v>
      </c>
      <c r="G154" s="485" t="e">
        <f t="shared" ref="G154:G210" si="12">(E154/D154)*100</f>
        <v>#DIV/0!</v>
      </c>
      <c r="H154" s="468" t="s">
        <v>688</v>
      </c>
    </row>
    <row r="155" spans="1:8" s="4" customFormat="1" ht="26.25" customHeight="1">
      <c r="A155" s="211" t="s">
        <v>601</v>
      </c>
      <c r="B155" s="401"/>
      <c r="C155" s="166"/>
      <c r="D155" s="117"/>
      <c r="E155" s="166">
        <v>27.3</v>
      </c>
      <c r="F155" s="83">
        <f t="shared" si="11"/>
        <v>27.3</v>
      </c>
      <c r="G155" s="485" t="e">
        <f t="shared" si="12"/>
        <v>#DIV/0!</v>
      </c>
      <c r="H155" s="468" t="s">
        <v>687</v>
      </c>
    </row>
    <row r="156" spans="1:8" s="4" customFormat="1" ht="26.25" customHeight="1">
      <c r="A156" s="211" t="s">
        <v>606</v>
      </c>
      <c r="B156" s="401"/>
      <c r="C156" s="166"/>
      <c r="D156" s="117"/>
      <c r="E156" s="166">
        <v>3.8</v>
      </c>
      <c r="F156" s="83">
        <f t="shared" si="11"/>
        <v>3.8</v>
      </c>
      <c r="G156" s="485" t="e">
        <f t="shared" si="12"/>
        <v>#DIV/0!</v>
      </c>
      <c r="H156" s="468" t="s">
        <v>687</v>
      </c>
    </row>
    <row r="157" spans="1:8" s="4" customFormat="1" ht="26.25" customHeight="1">
      <c r="A157" s="205" t="s">
        <v>600</v>
      </c>
      <c r="B157" s="401"/>
      <c r="C157" s="166"/>
      <c r="D157" s="117"/>
      <c r="E157" s="166">
        <v>6.6</v>
      </c>
      <c r="F157" s="83">
        <f t="shared" si="11"/>
        <v>6.6</v>
      </c>
      <c r="G157" s="485" t="e">
        <f t="shared" si="12"/>
        <v>#DIV/0!</v>
      </c>
      <c r="H157" s="468" t="s">
        <v>687</v>
      </c>
    </row>
    <row r="158" spans="1:8" s="4" customFormat="1" ht="26.25" customHeight="1">
      <c r="A158" s="211" t="s">
        <v>599</v>
      </c>
      <c r="B158" s="401"/>
      <c r="C158" s="166"/>
      <c r="D158" s="117"/>
      <c r="E158" s="166">
        <v>28.4</v>
      </c>
      <c r="F158" s="83">
        <f t="shared" si="11"/>
        <v>28.4</v>
      </c>
      <c r="G158" s="485" t="e">
        <f t="shared" si="12"/>
        <v>#DIV/0!</v>
      </c>
      <c r="H158" s="468" t="s">
        <v>688</v>
      </c>
    </row>
    <row r="159" spans="1:8" s="4" customFormat="1" ht="26.25" customHeight="1">
      <c r="A159" s="211" t="s">
        <v>598</v>
      </c>
      <c r="B159" s="401"/>
      <c r="C159" s="166"/>
      <c r="D159" s="117"/>
      <c r="E159" s="166">
        <v>38.799999999999997</v>
      </c>
      <c r="F159" s="83">
        <f t="shared" si="11"/>
        <v>38.799999999999997</v>
      </c>
      <c r="G159" s="485" t="e">
        <f t="shared" si="12"/>
        <v>#DIV/0!</v>
      </c>
      <c r="H159" s="468" t="s">
        <v>688</v>
      </c>
    </row>
    <row r="160" spans="1:8" s="4" customFormat="1" ht="26.25" customHeight="1">
      <c r="A160" s="211" t="s">
        <v>580</v>
      </c>
      <c r="B160" s="401"/>
      <c r="C160" s="166"/>
      <c r="D160" s="117"/>
      <c r="E160" s="166">
        <v>4</v>
      </c>
      <c r="F160" s="83">
        <f t="shared" si="11"/>
        <v>4</v>
      </c>
      <c r="G160" s="485" t="e">
        <f t="shared" si="12"/>
        <v>#DIV/0!</v>
      </c>
      <c r="H160" s="468" t="s">
        <v>688</v>
      </c>
    </row>
    <row r="161" spans="1:8" s="4" customFormat="1" ht="26.25" customHeight="1">
      <c r="A161" s="211" t="s">
        <v>597</v>
      </c>
      <c r="B161" s="401"/>
      <c r="C161" s="166"/>
      <c r="D161" s="117"/>
      <c r="E161" s="166">
        <v>6.9</v>
      </c>
      <c r="F161" s="83">
        <f t="shared" si="11"/>
        <v>6.9</v>
      </c>
      <c r="G161" s="485" t="e">
        <f t="shared" si="12"/>
        <v>#DIV/0!</v>
      </c>
      <c r="H161" s="468" t="s">
        <v>688</v>
      </c>
    </row>
    <row r="162" spans="1:8" s="4" customFormat="1" ht="38.25" customHeight="1">
      <c r="A162" s="205" t="s">
        <v>596</v>
      </c>
      <c r="B162" s="401"/>
      <c r="C162" s="166"/>
      <c r="D162" s="117"/>
      <c r="E162" s="166">
        <v>99</v>
      </c>
      <c r="F162" s="83">
        <f t="shared" si="11"/>
        <v>99</v>
      </c>
      <c r="G162" s="485" t="e">
        <f t="shared" si="12"/>
        <v>#DIV/0!</v>
      </c>
      <c r="H162" s="468" t="s">
        <v>687</v>
      </c>
    </row>
    <row r="163" spans="1:8" s="4" customFormat="1" ht="26.25" customHeight="1">
      <c r="A163" s="402" t="s">
        <v>607</v>
      </c>
      <c r="B163" s="401"/>
      <c r="C163" s="166"/>
      <c r="D163" s="117"/>
      <c r="E163" s="166">
        <v>122.4</v>
      </c>
      <c r="F163" s="83">
        <f t="shared" si="11"/>
        <v>122.4</v>
      </c>
      <c r="G163" s="485" t="e">
        <f t="shared" si="12"/>
        <v>#DIV/0!</v>
      </c>
      <c r="H163" s="468" t="s">
        <v>688</v>
      </c>
    </row>
    <row r="164" spans="1:8" s="4" customFormat="1" ht="26.25" customHeight="1">
      <c r="A164" s="205" t="s">
        <v>608</v>
      </c>
      <c r="B164" s="401"/>
      <c r="C164" s="166"/>
      <c r="D164" s="117"/>
      <c r="E164" s="166">
        <v>8.8000000000000007</v>
      </c>
      <c r="F164" s="83">
        <f t="shared" si="11"/>
        <v>8.8000000000000007</v>
      </c>
      <c r="G164" s="485" t="e">
        <f t="shared" si="12"/>
        <v>#DIV/0!</v>
      </c>
      <c r="H164" s="468" t="s">
        <v>688</v>
      </c>
    </row>
    <row r="165" spans="1:8" s="4" customFormat="1" ht="26.25" customHeight="1">
      <c r="A165" s="403" t="s">
        <v>609</v>
      </c>
      <c r="B165" s="401"/>
      <c r="C165" s="166"/>
      <c r="D165" s="117"/>
      <c r="E165" s="166">
        <v>7.9</v>
      </c>
      <c r="F165" s="83">
        <f t="shared" si="11"/>
        <v>7.9</v>
      </c>
      <c r="G165" s="485" t="e">
        <f t="shared" si="12"/>
        <v>#DIV/0!</v>
      </c>
      <c r="H165" s="468" t="s">
        <v>688</v>
      </c>
    </row>
    <row r="166" spans="1:8" s="4" customFormat="1" ht="26.25" customHeight="1">
      <c r="A166" s="211" t="s">
        <v>610</v>
      </c>
      <c r="B166" s="401"/>
      <c r="C166" s="166"/>
      <c r="D166" s="117"/>
      <c r="E166" s="166">
        <v>57.8</v>
      </c>
      <c r="F166" s="83">
        <f t="shared" si="11"/>
        <v>57.8</v>
      </c>
      <c r="G166" s="485" t="e">
        <f t="shared" si="12"/>
        <v>#DIV/0!</v>
      </c>
      <c r="H166" s="468" t="s">
        <v>688</v>
      </c>
    </row>
    <row r="167" spans="1:8" s="4" customFormat="1" ht="26.25" customHeight="1">
      <c r="A167" s="211" t="s">
        <v>581</v>
      </c>
      <c r="B167" s="401"/>
      <c r="C167" s="166"/>
      <c r="D167" s="117"/>
      <c r="E167" s="166">
        <v>21.2</v>
      </c>
      <c r="F167" s="83">
        <f t="shared" si="11"/>
        <v>21.2</v>
      </c>
      <c r="G167" s="485" t="e">
        <f t="shared" si="12"/>
        <v>#DIV/0!</v>
      </c>
      <c r="H167" s="468" t="s">
        <v>688</v>
      </c>
    </row>
    <row r="168" spans="1:8" s="4" customFormat="1" ht="40.5" customHeight="1">
      <c r="A168" s="205" t="s">
        <v>582</v>
      </c>
      <c r="B168" s="401"/>
      <c r="C168" s="166"/>
      <c r="D168" s="117"/>
      <c r="E168" s="166">
        <v>4</v>
      </c>
      <c r="F168" s="83">
        <f t="shared" si="11"/>
        <v>4</v>
      </c>
      <c r="G168" s="485" t="e">
        <f t="shared" si="12"/>
        <v>#DIV/0!</v>
      </c>
      <c r="H168" s="468" t="s">
        <v>700</v>
      </c>
    </row>
    <row r="169" spans="1:8" s="4" customFormat="1" ht="26.25" customHeight="1">
      <c r="A169" s="19" t="s">
        <v>583</v>
      </c>
      <c r="B169" s="401"/>
      <c r="C169" s="166"/>
      <c r="D169" s="117"/>
      <c r="E169" s="166">
        <v>3.5</v>
      </c>
      <c r="F169" s="83">
        <f t="shared" si="11"/>
        <v>3.5</v>
      </c>
      <c r="G169" s="485" t="e">
        <f t="shared" si="12"/>
        <v>#DIV/0!</v>
      </c>
      <c r="H169" s="468" t="s">
        <v>700</v>
      </c>
    </row>
    <row r="170" spans="1:8" s="4" customFormat="1" ht="36.75" customHeight="1">
      <c r="A170" s="205" t="s">
        <v>584</v>
      </c>
      <c r="B170" s="401"/>
      <c r="C170" s="13"/>
      <c r="D170" s="117"/>
      <c r="E170" s="166">
        <v>20.8</v>
      </c>
      <c r="F170" s="83">
        <f t="shared" si="11"/>
        <v>20.8</v>
      </c>
      <c r="G170" s="485" t="e">
        <f t="shared" si="12"/>
        <v>#DIV/0!</v>
      </c>
      <c r="H170" s="468" t="s">
        <v>700</v>
      </c>
    </row>
    <row r="171" spans="1:8" s="4" customFormat="1" ht="26.25" customHeight="1">
      <c r="A171" s="211" t="s">
        <v>585</v>
      </c>
      <c r="B171" s="401"/>
      <c r="C171" s="13"/>
      <c r="D171" s="117"/>
      <c r="E171" s="166">
        <v>3.4</v>
      </c>
      <c r="F171" s="83">
        <f t="shared" si="11"/>
        <v>3.4</v>
      </c>
      <c r="G171" s="485" t="e">
        <f t="shared" si="12"/>
        <v>#DIV/0!</v>
      </c>
      <c r="H171" s="468" t="s">
        <v>700</v>
      </c>
    </row>
    <row r="172" spans="1:8" s="4" customFormat="1" ht="26.25" customHeight="1">
      <c r="A172" s="211" t="s">
        <v>586</v>
      </c>
      <c r="B172" s="401"/>
      <c r="C172" s="13"/>
      <c r="D172" s="117"/>
      <c r="E172" s="166">
        <v>12.1</v>
      </c>
      <c r="F172" s="83">
        <f t="shared" si="11"/>
        <v>12.1</v>
      </c>
      <c r="G172" s="485" t="e">
        <f t="shared" si="12"/>
        <v>#DIV/0!</v>
      </c>
      <c r="H172" s="468" t="s">
        <v>700</v>
      </c>
    </row>
    <row r="173" spans="1:8" s="4" customFormat="1" ht="26.25" customHeight="1">
      <c r="A173" s="211" t="s">
        <v>587</v>
      </c>
      <c r="B173" s="401"/>
      <c r="C173" s="13"/>
      <c r="D173" s="117"/>
      <c r="E173" s="166">
        <v>5.7</v>
      </c>
      <c r="F173" s="83">
        <f t="shared" si="11"/>
        <v>5.7</v>
      </c>
      <c r="G173" s="485" t="e">
        <f t="shared" si="12"/>
        <v>#DIV/0!</v>
      </c>
      <c r="H173" s="468" t="s">
        <v>700</v>
      </c>
    </row>
    <row r="174" spans="1:8" s="4" customFormat="1" ht="26.25" customHeight="1">
      <c r="A174" s="211" t="s">
        <v>612</v>
      </c>
      <c r="B174" s="401"/>
      <c r="C174" s="13"/>
      <c r="D174" s="117"/>
      <c r="E174" s="166">
        <v>159.6</v>
      </c>
      <c r="F174" s="83">
        <f t="shared" si="11"/>
        <v>159.6</v>
      </c>
      <c r="G174" s="485" t="e">
        <f t="shared" si="12"/>
        <v>#DIV/0!</v>
      </c>
      <c r="H174" s="468" t="s">
        <v>700</v>
      </c>
    </row>
    <row r="175" spans="1:8" s="4" customFormat="1" ht="26.25" customHeight="1">
      <c r="A175" s="211" t="s">
        <v>613</v>
      </c>
      <c r="B175" s="401"/>
      <c r="C175" s="13"/>
      <c r="D175" s="117"/>
      <c r="E175" s="166">
        <v>112.9</v>
      </c>
      <c r="F175" s="83">
        <f t="shared" si="11"/>
        <v>112.9</v>
      </c>
      <c r="G175" s="485" t="e">
        <f t="shared" si="12"/>
        <v>#DIV/0!</v>
      </c>
      <c r="H175" s="468" t="s">
        <v>700</v>
      </c>
    </row>
    <row r="176" spans="1:8" s="4" customFormat="1" ht="26.25" customHeight="1">
      <c r="A176" s="19" t="s">
        <v>614</v>
      </c>
      <c r="B176" s="401"/>
      <c r="C176" s="13"/>
      <c r="D176" s="117"/>
      <c r="E176" s="166">
        <v>74.8</v>
      </c>
      <c r="F176" s="83">
        <f t="shared" si="11"/>
        <v>74.8</v>
      </c>
      <c r="G176" s="485" t="e">
        <f t="shared" si="12"/>
        <v>#DIV/0!</v>
      </c>
      <c r="H176" s="468" t="s">
        <v>700</v>
      </c>
    </row>
    <row r="177" spans="1:8" s="4" customFormat="1" ht="36" customHeight="1">
      <c r="A177" s="205" t="s">
        <v>615</v>
      </c>
      <c r="B177" s="401"/>
      <c r="C177" s="13"/>
      <c r="D177" s="117"/>
      <c r="E177" s="166">
        <v>49.3</v>
      </c>
      <c r="F177" s="83">
        <f t="shared" si="11"/>
        <v>49.3</v>
      </c>
      <c r="G177" s="485" t="e">
        <f t="shared" si="12"/>
        <v>#DIV/0!</v>
      </c>
      <c r="H177" s="468" t="s">
        <v>700</v>
      </c>
    </row>
    <row r="178" spans="1:8" s="4" customFormat="1" ht="26.25" customHeight="1">
      <c r="A178" s="205" t="s">
        <v>616</v>
      </c>
      <c r="B178" s="401"/>
      <c r="C178" s="13"/>
      <c r="D178" s="117"/>
      <c r="E178" s="166">
        <v>6.3</v>
      </c>
      <c r="F178" s="83">
        <f t="shared" si="11"/>
        <v>6.3</v>
      </c>
      <c r="G178" s="485" t="e">
        <f t="shared" si="12"/>
        <v>#DIV/0!</v>
      </c>
      <c r="H178" s="468" t="s">
        <v>700</v>
      </c>
    </row>
    <row r="179" spans="1:8" s="4" customFormat="1" ht="26.25" customHeight="1">
      <c r="A179" s="211" t="s">
        <v>617</v>
      </c>
      <c r="B179" s="401"/>
      <c r="C179" s="13"/>
      <c r="D179" s="117"/>
      <c r="E179" s="166">
        <v>52.5</v>
      </c>
      <c r="F179" s="83">
        <f t="shared" si="11"/>
        <v>52.5</v>
      </c>
      <c r="G179" s="485" t="e">
        <f t="shared" si="12"/>
        <v>#DIV/0!</v>
      </c>
      <c r="H179" s="468" t="s">
        <v>700</v>
      </c>
    </row>
    <row r="180" spans="1:8" s="4" customFormat="1" ht="26.25" customHeight="1">
      <c r="A180" s="211" t="s">
        <v>588</v>
      </c>
      <c r="B180" s="401"/>
      <c r="C180" s="13"/>
      <c r="D180" s="117"/>
      <c r="E180" s="166">
        <v>3.2</v>
      </c>
      <c r="F180" s="83">
        <f t="shared" si="11"/>
        <v>3.2</v>
      </c>
      <c r="G180" s="485" t="e">
        <f t="shared" si="12"/>
        <v>#DIV/0!</v>
      </c>
      <c r="H180" s="468" t="s">
        <v>700</v>
      </c>
    </row>
    <row r="181" spans="1:8" s="4" customFormat="1" ht="26.25" customHeight="1">
      <c r="A181" s="211" t="s">
        <v>589</v>
      </c>
      <c r="B181" s="401"/>
      <c r="C181" s="13"/>
      <c r="D181" s="117"/>
      <c r="E181" s="166">
        <v>8.1999999999999993</v>
      </c>
      <c r="F181" s="83">
        <f t="shared" si="11"/>
        <v>8.1999999999999993</v>
      </c>
      <c r="G181" s="485" t="e">
        <f t="shared" si="12"/>
        <v>#DIV/0!</v>
      </c>
      <c r="H181" s="468" t="s">
        <v>700</v>
      </c>
    </row>
    <row r="182" spans="1:8" s="4" customFormat="1" ht="26.25" customHeight="1">
      <c r="A182" s="211" t="s">
        <v>590</v>
      </c>
      <c r="B182" s="401"/>
      <c r="C182" s="13"/>
      <c r="D182" s="117"/>
      <c r="E182" s="166">
        <v>3.7</v>
      </c>
      <c r="F182" s="83">
        <f t="shared" si="11"/>
        <v>3.7</v>
      </c>
      <c r="G182" s="485" t="e">
        <f t="shared" si="12"/>
        <v>#DIV/0!</v>
      </c>
      <c r="H182" s="468" t="s">
        <v>700</v>
      </c>
    </row>
    <row r="183" spans="1:8" s="4" customFormat="1" ht="26.25" customHeight="1">
      <c r="A183" s="211" t="s">
        <v>628</v>
      </c>
      <c r="B183" s="401"/>
      <c r="C183" s="13"/>
      <c r="D183" s="117"/>
      <c r="E183" s="166">
        <v>41.6</v>
      </c>
      <c r="F183" s="83">
        <f t="shared" si="11"/>
        <v>41.6</v>
      </c>
      <c r="G183" s="485" t="e">
        <f t="shared" si="12"/>
        <v>#DIV/0!</v>
      </c>
      <c r="H183" s="468" t="s">
        <v>700</v>
      </c>
    </row>
    <row r="184" spans="1:8" s="4" customFormat="1" ht="26.25" customHeight="1">
      <c r="A184" s="211" t="s">
        <v>627</v>
      </c>
      <c r="B184" s="401"/>
      <c r="C184" s="13"/>
      <c r="D184" s="117"/>
      <c r="E184" s="166">
        <v>8.6999999999999993</v>
      </c>
      <c r="F184" s="83">
        <f t="shared" si="11"/>
        <v>8.6999999999999993</v>
      </c>
      <c r="G184" s="485" t="e">
        <f t="shared" si="12"/>
        <v>#DIV/0!</v>
      </c>
      <c r="H184" s="468" t="s">
        <v>700</v>
      </c>
    </row>
    <row r="185" spans="1:8" s="4" customFormat="1" ht="26.25" customHeight="1">
      <c r="A185" s="211" t="s">
        <v>591</v>
      </c>
      <c r="B185" s="401"/>
      <c r="C185" s="13"/>
      <c r="D185" s="117"/>
      <c r="E185" s="166">
        <v>10.5</v>
      </c>
      <c r="F185" s="83">
        <f t="shared" si="11"/>
        <v>10.5</v>
      </c>
      <c r="G185" s="485" t="e">
        <f t="shared" si="12"/>
        <v>#DIV/0!</v>
      </c>
      <c r="H185" s="468" t="s">
        <v>700</v>
      </c>
    </row>
    <row r="186" spans="1:8" s="4" customFormat="1" ht="26.25" customHeight="1">
      <c r="A186" s="211" t="s">
        <v>618</v>
      </c>
      <c r="B186" s="401"/>
      <c r="C186" s="13"/>
      <c r="D186" s="117"/>
      <c r="E186" s="166">
        <v>40.200000000000003</v>
      </c>
      <c r="F186" s="83">
        <f t="shared" si="11"/>
        <v>40.200000000000003</v>
      </c>
      <c r="G186" s="485" t="e">
        <f t="shared" si="12"/>
        <v>#DIV/0!</v>
      </c>
      <c r="H186" s="468" t="s">
        <v>700</v>
      </c>
    </row>
    <row r="187" spans="1:8" s="4" customFormat="1" ht="26.25" customHeight="1">
      <c r="A187" s="211" t="s">
        <v>592</v>
      </c>
      <c r="B187" s="401"/>
      <c r="C187" s="13"/>
      <c r="D187" s="117"/>
      <c r="E187" s="166">
        <v>7.6</v>
      </c>
      <c r="F187" s="83">
        <f t="shared" si="11"/>
        <v>7.6</v>
      </c>
      <c r="G187" s="485" t="e">
        <f t="shared" si="12"/>
        <v>#DIV/0!</v>
      </c>
      <c r="H187" s="468" t="s">
        <v>700</v>
      </c>
    </row>
    <row r="188" spans="1:8" s="4" customFormat="1" ht="26.25" customHeight="1">
      <c r="A188" s="205" t="s">
        <v>593</v>
      </c>
      <c r="B188" s="401"/>
      <c r="C188" s="13"/>
      <c r="D188" s="117"/>
      <c r="E188" s="166">
        <v>8.6</v>
      </c>
      <c r="F188" s="83">
        <f t="shared" si="11"/>
        <v>8.6</v>
      </c>
      <c r="G188" s="485" t="e">
        <f t="shared" si="12"/>
        <v>#DIV/0!</v>
      </c>
      <c r="H188" s="468" t="s">
        <v>700</v>
      </c>
    </row>
    <row r="189" spans="1:8" s="4" customFormat="1" ht="26.25" customHeight="1">
      <c r="A189" s="211" t="s">
        <v>626</v>
      </c>
      <c r="B189" s="401"/>
      <c r="C189" s="13"/>
      <c r="D189" s="117"/>
      <c r="E189" s="166">
        <v>12.4</v>
      </c>
      <c r="F189" s="83">
        <f t="shared" si="11"/>
        <v>12.4</v>
      </c>
      <c r="G189" s="485" t="e">
        <f t="shared" si="12"/>
        <v>#DIV/0!</v>
      </c>
      <c r="H189" s="468" t="s">
        <v>700</v>
      </c>
    </row>
    <row r="190" spans="1:8" s="4" customFormat="1" ht="26.25" customHeight="1">
      <c r="A190" s="211" t="s">
        <v>625</v>
      </c>
      <c r="B190" s="401"/>
      <c r="C190" s="13"/>
      <c r="D190" s="117"/>
      <c r="E190" s="166">
        <v>37.4</v>
      </c>
      <c r="F190" s="83">
        <f t="shared" si="11"/>
        <v>37.4</v>
      </c>
      <c r="G190" s="485" t="e">
        <f t="shared" si="12"/>
        <v>#DIV/0!</v>
      </c>
      <c r="H190" s="468" t="s">
        <v>700</v>
      </c>
    </row>
    <row r="191" spans="1:8" s="4" customFormat="1" ht="26.25" customHeight="1">
      <c r="A191" s="211" t="s">
        <v>594</v>
      </c>
      <c r="B191" s="401"/>
      <c r="C191" s="13"/>
      <c r="D191" s="117"/>
      <c r="E191" s="166">
        <v>6.4</v>
      </c>
      <c r="F191" s="83">
        <f t="shared" si="11"/>
        <v>6.4</v>
      </c>
      <c r="G191" s="485" t="e">
        <f t="shared" si="12"/>
        <v>#DIV/0!</v>
      </c>
      <c r="H191" s="468" t="s">
        <v>700</v>
      </c>
    </row>
    <row r="192" spans="1:8" s="4" customFormat="1" ht="26.25" customHeight="1">
      <c r="A192" s="211" t="s">
        <v>624</v>
      </c>
      <c r="B192" s="401"/>
      <c r="C192" s="13"/>
      <c r="D192" s="117"/>
      <c r="E192" s="166">
        <v>58.1</v>
      </c>
      <c r="F192" s="83">
        <f t="shared" si="11"/>
        <v>58.1</v>
      </c>
      <c r="G192" s="485" t="e">
        <f t="shared" si="12"/>
        <v>#DIV/0!</v>
      </c>
      <c r="H192" s="468" t="s">
        <v>700</v>
      </c>
    </row>
    <row r="193" spans="1:9" s="4" customFormat="1" ht="26.25" customHeight="1">
      <c r="A193" s="211" t="s">
        <v>623</v>
      </c>
      <c r="B193" s="401"/>
      <c r="C193" s="13"/>
      <c r="D193" s="117"/>
      <c r="E193" s="166">
        <v>14.4</v>
      </c>
      <c r="F193" s="83">
        <f t="shared" si="11"/>
        <v>14.4</v>
      </c>
      <c r="G193" s="485" t="e">
        <f t="shared" si="12"/>
        <v>#DIV/0!</v>
      </c>
      <c r="H193" s="468" t="s">
        <v>700</v>
      </c>
    </row>
    <row r="194" spans="1:9" s="4" customFormat="1" ht="26.25" customHeight="1">
      <c r="A194" s="211" t="s">
        <v>622</v>
      </c>
      <c r="B194" s="401"/>
      <c r="C194" s="13"/>
      <c r="D194" s="117"/>
      <c r="E194" s="166">
        <v>33.6</v>
      </c>
      <c r="F194" s="83">
        <f t="shared" si="11"/>
        <v>33.6</v>
      </c>
      <c r="G194" s="485" t="e">
        <f t="shared" si="12"/>
        <v>#DIV/0!</v>
      </c>
      <c r="H194" s="468" t="s">
        <v>700</v>
      </c>
    </row>
    <row r="195" spans="1:9" s="4" customFormat="1" ht="26.25" customHeight="1">
      <c r="A195" s="211" t="s">
        <v>621</v>
      </c>
      <c r="B195" s="401"/>
      <c r="C195" s="13"/>
      <c r="D195" s="117"/>
      <c r="E195" s="166">
        <v>112.3</v>
      </c>
      <c r="F195" s="83">
        <f t="shared" si="11"/>
        <v>112.3</v>
      </c>
      <c r="G195" s="485" t="e">
        <f t="shared" si="12"/>
        <v>#DIV/0!</v>
      </c>
      <c r="H195" s="468" t="s">
        <v>700</v>
      </c>
    </row>
    <row r="196" spans="1:9" s="4" customFormat="1" ht="26.25" customHeight="1">
      <c r="A196" s="211" t="s">
        <v>595</v>
      </c>
      <c r="B196" s="401"/>
      <c r="C196" s="13"/>
      <c r="D196" s="117"/>
      <c r="E196" s="166">
        <v>10.199999999999999</v>
      </c>
      <c r="F196" s="83">
        <f t="shared" si="11"/>
        <v>10.199999999999999</v>
      </c>
      <c r="G196" s="485" t="e">
        <f t="shared" si="12"/>
        <v>#DIV/0!</v>
      </c>
      <c r="H196" s="468" t="s">
        <v>700</v>
      </c>
    </row>
    <row r="197" spans="1:9" s="4" customFormat="1" ht="26.25" customHeight="1">
      <c r="A197" s="211" t="s">
        <v>620</v>
      </c>
      <c r="B197" s="401"/>
      <c r="C197" s="13"/>
      <c r="D197" s="117"/>
      <c r="E197" s="166">
        <v>54.6</v>
      </c>
      <c r="F197" s="83">
        <f t="shared" si="11"/>
        <v>54.6</v>
      </c>
      <c r="G197" s="485" t="e">
        <f t="shared" si="12"/>
        <v>#DIV/0!</v>
      </c>
      <c r="H197" s="468" t="s">
        <v>700</v>
      </c>
    </row>
    <row r="198" spans="1:9" s="4" customFormat="1" ht="26.25" customHeight="1">
      <c r="A198" s="211" t="s">
        <v>619</v>
      </c>
      <c r="B198" s="401"/>
      <c r="C198" s="13"/>
      <c r="D198" s="117"/>
      <c r="E198" s="166">
        <v>7.9</v>
      </c>
      <c r="F198" s="83">
        <f t="shared" si="11"/>
        <v>7.9</v>
      </c>
      <c r="G198" s="485" t="e">
        <f t="shared" si="12"/>
        <v>#DIV/0!</v>
      </c>
      <c r="H198" s="468" t="s">
        <v>700</v>
      </c>
    </row>
    <row r="199" spans="1:9" s="69" customFormat="1" ht="50.25" customHeight="1">
      <c r="A199" s="387" t="s">
        <v>62</v>
      </c>
      <c r="B199" s="391">
        <v>3269</v>
      </c>
      <c r="C199" s="389">
        <f>C200+C201</f>
        <v>0</v>
      </c>
      <c r="D199" s="389">
        <f>D200+D201</f>
        <v>4243.2</v>
      </c>
      <c r="E199" s="389">
        <f>E200+E201</f>
        <v>4157.8999999999996</v>
      </c>
      <c r="F199" s="389">
        <f t="shared" si="11"/>
        <v>-85.300000000000182</v>
      </c>
      <c r="G199" s="390">
        <f t="shared" si="12"/>
        <v>97.98972473604826</v>
      </c>
    </row>
    <row r="200" spans="1:9" s="4" customFormat="1" ht="82.5" customHeight="1">
      <c r="A200" s="16" t="s">
        <v>328</v>
      </c>
      <c r="B200" s="36"/>
      <c r="C200" s="13"/>
      <c r="D200" s="166">
        <v>2589.1999999999998</v>
      </c>
      <c r="E200" s="166">
        <f>1565.9+913</f>
        <v>2478.9</v>
      </c>
      <c r="F200" s="83">
        <f t="shared" si="11"/>
        <v>-110.29999999999973</v>
      </c>
      <c r="G200" s="393">
        <f t="shared" si="12"/>
        <v>95.739996910242553</v>
      </c>
      <c r="H200" s="496" t="s">
        <v>704</v>
      </c>
      <c r="I200" s="470"/>
    </row>
    <row r="201" spans="1:9" s="4" customFormat="1" ht="104.25" customHeight="1">
      <c r="A201" s="12" t="s">
        <v>535</v>
      </c>
      <c r="B201" s="36"/>
      <c r="C201" s="13"/>
      <c r="D201" s="166">
        <v>1654</v>
      </c>
      <c r="E201" s="166">
        <v>1679</v>
      </c>
      <c r="F201" s="83">
        <f t="shared" si="11"/>
        <v>25</v>
      </c>
      <c r="G201" s="393">
        <f t="shared" si="12"/>
        <v>101.51148730350666</v>
      </c>
      <c r="H201" s="496" t="s">
        <v>705</v>
      </c>
      <c r="I201" s="470"/>
    </row>
    <row r="202" spans="1:9" ht="27" customHeight="1">
      <c r="A202" s="387" t="s">
        <v>692</v>
      </c>
      <c r="B202" s="388">
        <v>3270</v>
      </c>
      <c r="C202" s="389">
        <f>SUM(C203:C210)</f>
        <v>14669.6</v>
      </c>
      <c r="D202" s="389">
        <f>SUM(D203:D210)</f>
        <v>25170.6</v>
      </c>
      <c r="E202" s="389">
        <f>SUM(E203:E210)</f>
        <v>15499.7</v>
      </c>
      <c r="F202" s="389">
        <f t="shared" si="11"/>
        <v>-9670.8999999999978</v>
      </c>
      <c r="G202" s="390">
        <f t="shared" si="12"/>
        <v>61.578587717416355</v>
      </c>
      <c r="H202" s="471">
        <v>0</v>
      </c>
      <c r="I202" s="469"/>
    </row>
    <row r="203" spans="1:9" ht="84" customHeight="1">
      <c r="A203" s="80" t="s">
        <v>520</v>
      </c>
      <c r="B203" s="36"/>
      <c r="C203" s="166">
        <v>6590</v>
      </c>
      <c r="D203" s="166">
        <v>14560.4</v>
      </c>
      <c r="E203" s="166">
        <v>7348.2</v>
      </c>
      <c r="F203" s="83">
        <f t="shared" si="11"/>
        <v>-7212.2</v>
      </c>
      <c r="G203" s="393">
        <f t="shared" si="12"/>
        <v>50.467020136809424</v>
      </c>
      <c r="H203" s="495" t="s">
        <v>706</v>
      </c>
      <c r="I203" s="469"/>
    </row>
    <row r="204" spans="1:9" ht="68.25" customHeight="1">
      <c r="A204" s="80" t="s">
        <v>521</v>
      </c>
      <c r="B204" s="36"/>
      <c r="C204" s="166">
        <v>4449.6000000000004</v>
      </c>
      <c r="D204" s="166">
        <v>5404.2</v>
      </c>
      <c r="E204" s="166">
        <v>4797.5</v>
      </c>
      <c r="F204" s="83">
        <f t="shared" si="11"/>
        <v>-606.69999999999982</v>
      </c>
      <c r="G204" s="393">
        <f t="shared" si="12"/>
        <v>88.773546500869699</v>
      </c>
      <c r="H204" s="495" t="s">
        <v>707</v>
      </c>
      <c r="I204" s="469"/>
    </row>
    <row r="205" spans="1:9" ht="123.75" customHeight="1">
      <c r="A205" s="404" t="s">
        <v>536</v>
      </c>
      <c r="B205" s="36"/>
      <c r="C205" s="166"/>
      <c r="D205" s="166">
        <v>2878.4</v>
      </c>
      <c r="E205" s="166">
        <v>2954.9</v>
      </c>
      <c r="F205" s="83">
        <f t="shared" si="11"/>
        <v>76.5</v>
      </c>
      <c r="G205" s="393">
        <f t="shared" si="12"/>
        <v>102.6577265147304</v>
      </c>
      <c r="H205" s="495" t="s">
        <v>708</v>
      </c>
      <c r="I205" s="469"/>
    </row>
    <row r="206" spans="1:9" ht="95.25" customHeight="1">
      <c r="A206" s="405" t="s">
        <v>537</v>
      </c>
      <c r="B206" s="36"/>
      <c r="C206" s="166"/>
      <c r="D206" s="166">
        <v>1977.6</v>
      </c>
      <c r="E206" s="84"/>
      <c r="F206" s="83">
        <f t="shared" si="11"/>
        <v>-1977.6</v>
      </c>
      <c r="G206" s="393">
        <f t="shared" si="12"/>
        <v>0</v>
      </c>
      <c r="H206" s="469"/>
      <c r="I206" s="469"/>
    </row>
    <row r="207" spans="1:9" ht="102.75" customHeight="1">
      <c r="A207" s="404" t="s">
        <v>538</v>
      </c>
      <c r="B207" s="36"/>
      <c r="C207" s="166"/>
      <c r="D207" s="166">
        <v>350</v>
      </c>
      <c r="E207" s="166">
        <f>350+49.1</f>
        <v>399.1</v>
      </c>
      <c r="F207" s="83">
        <f t="shared" si="11"/>
        <v>49.100000000000023</v>
      </c>
      <c r="G207" s="393">
        <f t="shared" si="12"/>
        <v>114.02857142857144</v>
      </c>
      <c r="H207" s="495" t="s">
        <v>704</v>
      </c>
      <c r="I207" s="469"/>
    </row>
    <row r="208" spans="1:9" ht="84.75" customHeight="1">
      <c r="A208" s="80" t="s">
        <v>522</v>
      </c>
      <c r="B208" s="36"/>
      <c r="C208" s="166">
        <v>214.9</v>
      </c>
      <c r="D208" s="84"/>
      <c r="E208" s="84"/>
      <c r="F208" s="83">
        <f t="shared" si="11"/>
        <v>0</v>
      </c>
      <c r="G208" s="485" t="e">
        <f t="shared" si="12"/>
        <v>#DIV/0!</v>
      </c>
      <c r="H208" s="469"/>
      <c r="I208" s="469"/>
    </row>
    <row r="209" spans="1:9" ht="82.5" customHeight="1">
      <c r="A209" s="44" t="s">
        <v>523</v>
      </c>
      <c r="B209" s="36"/>
      <c r="C209" s="166">
        <v>3377.6</v>
      </c>
      <c r="D209" s="84"/>
      <c r="E209" s="84"/>
      <c r="F209" s="83">
        <f t="shared" si="11"/>
        <v>0</v>
      </c>
      <c r="G209" s="485" t="e">
        <f t="shared" si="12"/>
        <v>#DIV/0!</v>
      </c>
      <c r="H209" s="467"/>
      <c r="I209" s="467"/>
    </row>
    <row r="210" spans="1:9" ht="84.75" customHeight="1">
      <c r="A210" s="12" t="s">
        <v>524</v>
      </c>
      <c r="B210" s="36"/>
      <c r="C210" s="166">
        <v>37.5</v>
      </c>
      <c r="D210" s="84"/>
      <c r="E210" s="84"/>
      <c r="F210" s="83">
        <f t="shared" si="11"/>
        <v>0</v>
      </c>
      <c r="G210" s="485" t="e">
        <f t="shared" si="12"/>
        <v>#DIV/0!</v>
      </c>
      <c r="H210" s="467"/>
      <c r="I210" s="467"/>
    </row>
    <row r="211" spans="1:9" s="4" customFormat="1" ht="26.25" customHeight="1">
      <c r="A211" s="339"/>
      <c r="B211" s="340"/>
      <c r="C211" s="341"/>
      <c r="D211" s="341"/>
      <c r="E211" s="341"/>
      <c r="F211" s="341"/>
      <c r="G211" s="232"/>
    </row>
    <row r="212" spans="1:9" ht="26.25" customHeight="1">
      <c r="A212" s="342" t="s">
        <v>205</v>
      </c>
      <c r="B212" s="343"/>
      <c r="C212" s="545"/>
      <c r="D212" s="545"/>
      <c r="E212" s="344"/>
      <c r="F212" s="546" t="s">
        <v>693</v>
      </c>
      <c r="G212" s="546"/>
    </row>
    <row r="213" spans="1:9" ht="26.25" customHeight="1">
      <c r="A213" s="178" t="s">
        <v>59</v>
      </c>
      <c r="B213" s="194"/>
      <c r="C213" s="547" t="s">
        <v>65</v>
      </c>
      <c r="D213" s="547"/>
      <c r="E213" s="345"/>
      <c r="F213" s="548" t="s">
        <v>17</v>
      </c>
      <c r="G213" s="548"/>
    </row>
    <row r="214" spans="1:9" ht="26.25" customHeight="1">
      <c r="A214" s="347"/>
      <c r="B214" s="348"/>
      <c r="C214" s="349"/>
      <c r="D214" s="350"/>
      <c r="E214" s="350"/>
      <c r="F214" s="350"/>
    </row>
    <row r="215" spans="1:9" ht="26.25" customHeight="1">
      <c r="A215" s="347"/>
      <c r="B215" s="348"/>
      <c r="C215" s="349"/>
      <c r="D215" s="350"/>
      <c r="E215" s="350"/>
      <c r="F215" s="350"/>
    </row>
    <row r="216" spans="1:9" ht="26.25" customHeight="1">
      <c r="A216" s="347"/>
      <c r="B216" s="348"/>
      <c r="C216" s="349"/>
      <c r="D216" s="350"/>
      <c r="E216" s="350"/>
      <c r="F216" s="350"/>
    </row>
    <row r="217" spans="1:9" ht="26.25" customHeight="1">
      <c r="A217" s="347"/>
      <c r="B217" s="348"/>
      <c r="C217" s="349"/>
      <c r="D217" s="350"/>
      <c r="E217" s="350"/>
      <c r="F217" s="350"/>
    </row>
    <row r="218" spans="1:9" ht="26.25" customHeight="1">
      <c r="A218" s="347"/>
      <c r="B218" s="348"/>
      <c r="C218" s="349"/>
      <c r="D218" s="350"/>
      <c r="E218" s="350"/>
      <c r="F218" s="350"/>
    </row>
    <row r="219" spans="1:9" ht="26.25" customHeight="1">
      <c r="A219" s="347"/>
      <c r="B219" s="348"/>
      <c r="C219" s="349"/>
      <c r="D219" s="350"/>
      <c r="E219" s="350"/>
      <c r="F219" s="350"/>
    </row>
    <row r="220" spans="1:9" ht="26.25" customHeight="1">
      <c r="A220" s="347"/>
      <c r="B220" s="348"/>
      <c r="C220" s="349"/>
      <c r="D220" s="350"/>
      <c r="E220" s="350"/>
      <c r="F220" s="350"/>
    </row>
    <row r="221" spans="1:9" ht="26.25" customHeight="1">
      <c r="A221" s="347"/>
      <c r="B221" s="348"/>
      <c r="C221" s="349"/>
      <c r="D221" s="350"/>
      <c r="E221" s="350"/>
      <c r="F221" s="350"/>
    </row>
    <row r="222" spans="1:9" ht="26.25" customHeight="1">
      <c r="A222" s="347"/>
      <c r="B222" s="348"/>
      <c r="C222" s="349"/>
      <c r="D222" s="350"/>
      <c r="E222" s="350"/>
      <c r="F222" s="350"/>
    </row>
    <row r="223" spans="1:9" ht="26.25" customHeight="1">
      <c r="A223" s="347"/>
      <c r="B223" s="348"/>
      <c r="C223" s="349"/>
      <c r="D223" s="350"/>
      <c r="E223" s="350"/>
      <c r="F223" s="350"/>
    </row>
    <row r="224" spans="1:9" ht="26.25" customHeight="1">
      <c r="A224" s="347"/>
      <c r="B224" s="348"/>
      <c r="C224" s="349"/>
      <c r="D224" s="350"/>
      <c r="E224" s="350"/>
      <c r="F224" s="350"/>
    </row>
    <row r="225" spans="1:6" ht="26.25" customHeight="1">
      <c r="A225" s="347"/>
      <c r="B225" s="348"/>
      <c r="C225" s="349"/>
      <c r="D225" s="350"/>
      <c r="E225" s="350"/>
      <c r="F225" s="350"/>
    </row>
    <row r="226" spans="1:6" ht="26.25" customHeight="1">
      <c r="A226" s="347"/>
      <c r="B226" s="348"/>
      <c r="C226" s="349"/>
      <c r="D226" s="350"/>
      <c r="E226" s="350"/>
      <c r="F226" s="350"/>
    </row>
    <row r="227" spans="1:6" ht="26.25" customHeight="1">
      <c r="A227" s="347"/>
      <c r="B227" s="348"/>
      <c r="C227" s="349"/>
      <c r="D227" s="350"/>
      <c r="E227" s="350"/>
      <c r="F227" s="350"/>
    </row>
    <row r="228" spans="1:6" ht="26.25" customHeight="1">
      <c r="A228" s="347"/>
      <c r="B228" s="348"/>
      <c r="C228" s="349"/>
      <c r="D228" s="350"/>
      <c r="E228" s="350"/>
      <c r="F228" s="350"/>
    </row>
    <row r="229" spans="1:6" ht="26.25" customHeight="1">
      <c r="A229" s="347"/>
      <c r="B229" s="348"/>
      <c r="C229" s="349"/>
      <c r="D229" s="350"/>
      <c r="E229" s="350"/>
      <c r="F229" s="350"/>
    </row>
    <row r="230" spans="1:6" ht="26.25" customHeight="1">
      <c r="A230" s="347"/>
      <c r="B230" s="348"/>
      <c r="C230" s="349"/>
      <c r="D230" s="350"/>
      <c r="E230" s="350"/>
      <c r="F230" s="350"/>
    </row>
    <row r="231" spans="1:6" ht="26.25" customHeight="1">
      <c r="A231" s="347"/>
      <c r="B231" s="348"/>
      <c r="C231" s="349"/>
      <c r="D231" s="350"/>
      <c r="E231" s="350"/>
      <c r="F231" s="350"/>
    </row>
    <row r="232" spans="1:6" ht="26.25" customHeight="1">
      <c r="A232" s="347"/>
      <c r="B232" s="348"/>
      <c r="C232" s="349"/>
      <c r="D232" s="350"/>
      <c r="E232" s="350"/>
      <c r="F232" s="350"/>
    </row>
    <row r="233" spans="1:6" ht="26.25" customHeight="1">
      <c r="A233" s="347"/>
      <c r="B233" s="348"/>
      <c r="C233" s="349"/>
      <c r="D233" s="350"/>
      <c r="E233" s="350"/>
      <c r="F233" s="350"/>
    </row>
    <row r="234" spans="1:6" ht="26.25" customHeight="1">
      <c r="A234" s="347"/>
      <c r="B234" s="348"/>
      <c r="C234" s="349"/>
      <c r="D234" s="350"/>
      <c r="E234" s="350"/>
      <c r="F234" s="350"/>
    </row>
    <row r="235" spans="1:6" ht="26.25" customHeight="1">
      <c r="A235" s="347"/>
      <c r="B235" s="348"/>
      <c r="C235" s="349"/>
      <c r="D235" s="350"/>
      <c r="E235" s="350"/>
      <c r="F235" s="350"/>
    </row>
    <row r="236" spans="1:6" ht="26.25" customHeight="1">
      <c r="A236" s="347"/>
      <c r="B236" s="348"/>
      <c r="C236" s="349"/>
      <c r="D236" s="350"/>
      <c r="E236" s="350"/>
      <c r="F236" s="350"/>
    </row>
    <row r="237" spans="1:6" ht="26.25" customHeight="1">
      <c r="A237" s="347"/>
      <c r="B237" s="348"/>
      <c r="C237" s="349"/>
      <c r="D237" s="350"/>
      <c r="E237" s="350"/>
      <c r="F237" s="350"/>
    </row>
    <row r="238" spans="1:6" ht="26.25" customHeight="1">
      <c r="A238" s="347"/>
      <c r="B238" s="348"/>
      <c r="C238" s="349"/>
      <c r="D238" s="350"/>
      <c r="E238" s="350"/>
      <c r="F238" s="350"/>
    </row>
    <row r="239" spans="1:6" ht="26.25" customHeight="1">
      <c r="A239" s="347"/>
      <c r="B239" s="348"/>
      <c r="C239" s="349"/>
      <c r="D239" s="350"/>
      <c r="E239" s="350"/>
      <c r="F239" s="350"/>
    </row>
    <row r="240" spans="1:6" ht="26.25" customHeight="1">
      <c r="A240" s="347"/>
      <c r="B240" s="348"/>
      <c r="C240" s="349"/>
      <c r="D240" s="350"/>
      <c r="E240" s="350"/>
      <c r="F240" s="350"/>
    </row>
    <row r="241" spans="1:6" ht="26.25" customHeight="1">
      <c r="A241" s="347"/>
      <c r="B241" s="348"/>
      <c r="C241" s="349"/>
      <c r="D241" s="350"/>
      <c r="E241" s="350"/>
      <c r="F241" s="350"/>
    </row>
    <row r="242" spans="1:6" ht="26.25" customHeight="1">
      <c r="A242" s="347"/>
      <c r="B242" s="348"/>
      <c r="C242" s="349"/>
      <c r="D242" s="350"/>
      <c r="E242" s="350"/>
      <c r="F242" s="350"/>
    </row>
    <row r="243" spans="1:6" ht="26.25" customHeight="1">
      <c r="A243" s="347"/>
      <c r="B243" s="348"/>
      <c r="C243" s="349"/>
      <c r="D243" s="350"/>
      <c r="E243" s="350"/>
      <c r="F243" s="350"/>
    </row>
    <row r="244" spans="1:6" ht="26.25" customHeight="1">
      <c r="A244" s="347"/>
      <c r="B244" s="348"/>
      <c r="C244" s="349"/>
      <c r="D244" s="350"/>
      <c r="E244" s="350"/>
      <c r="F244" s="350"/>
    </row>
    <row r="245" spans="1:6" ht="26.25" customHeight="1">
      <c r="A245" s="347"/>
      <c r="C245" s="75"/>
      <c r="D245" s="5"/>
      <c r="E245" s="5"/>
      <c r="F245" s="5"/>
    </row>
    <row r="246" spans="1:6" ht="26.25" customHeight="1">
      <c r="A246" s="6"/>
      <c r="C246" s="75"/>
      <c r="D246" s="5"/>
      <c r="E246" s="5"/>
      <c r="F246" s="5"/>
    </row>
    <row r="247" spans="1:6" ht="26.25" customHeight="1">
      <c r="A247" s="6"/>
      <c r="C247" s="75"/>
      <c r="D247" s="5"/>
      <c r="E247" s="5"/>
      <c r="F247" s="5"/>
    </row>
    <row r="248" spans="1:6" ht="26.25" customHeight="1">
      <c r="A248" s="6"/>
      <c r="C248" s="75"/>
      <c r="D248" s="5"/>
      <c r="E248" s="5"/>
      <c r="F248" s="5"/>
    </row>
    <row r="249" spans="1:6" ht="26.25" customHeight="1">
      <c r="A249" s="6"/>
      <c r="C249" s="75"/>
      <c r="D249" s="5"/>
      <c r="E249" s="5"/>
      <c r="F249" s="5"/>
    </row>
    <row r="250" spans="1:6" ht="26.25" customHeight="1">
      <c r="A250" s="6"/>
      <c r="C250" s="75"/>
      <c r="D250" s="5"/>
      <c r="E250" s="5"/>
      <c r="F250" s="5"/>
    </row>
    <row r="251" spans="1:6" ht="26.25" customHeight="1">
      <c r="A251" s="6"/>
      <c r="C251" s="75"/>
      <c r="D251" s="5"/>
      <c r="E251" s="5"/>
      <c r="F251" s="5"/>
    </row>
    <row r="252" spans="1:6" ht="26.25" customHeight="1">
      <c r="A252" s="6"/>
      <c r="C252" s="75"/>
      <c r="D252" s="5"/>
      <c r="E252" s="5"/>
      <c r="F252" s="5"/>
    </row>
    <row r="253" spans="1:6" ht="26.25" customHeight="1">
      <c r="A253" s="6"/>
      <c r="C253" s="75"/>
      <c r="D253" s="5"/>
      <c r="E253" s="5"/>
      <c r="F253" s="5"/>
    </row>
    <row r="254" spans="1:6" ht="26.25" customHeight="1">
      <c r="A254" s="6"/>
      <c r="C254" s="75"/>
      <c r="D254" s="5"/>
      <c r="E254" s="5"/>
      <c r="F254" s="5"/>
    </row>
    <row r="255" spans="1:6" ht="26.25" customHeight="1">
      <c r="A255" s="6"/>
      <c r="C255" s="75"/>
      <c r="D255" s="5"/>
      <c r="E255" s="5"/>
      <c r="F255" s="5"/>
    </row>
    <row r="256" spans="1:6" ht="26.25" customHeight="1">
      <c r="A256" s="6"/>
      <c r="C256" s="75"/>
      <c r="D256" s="5"/>
      <c r="E256" s="5"/>
      <c r="F256" s="5"/>
    </row>
    <row r="257" spans="1:8" ht="26.25" customHeight="1">
      <c r="A257" s="6"/>
      <c r="C257" s="75"/>
      <c r="D257" s="5"/>
      <c r="E257" s="5"/>
      <c r="F257" s="5"/>
    </row>
    <row r="258" spans="1:8" ht="26.25" customHeight="1">
      <c r="A258" s="6"/>
      <c r="C258" s="75"/>
      <c r="D258" s="5"/>
      <c r="E258" s="5"/>
      <c r="F258" s="5"/>
    </row>
    <row r="259" spans="1:8" ht="26.25" customHeight="1">
      <c r="A259" s="6"/>
      <c r="C259" s="75"/>
      <c r="D259" s="5"/>
      <c r="E259" s="5"/>
      <c r="F259" s="5"/>
    </row>
    <row r="260" spans="1:8" ht="26.25" customHeight="1">
      <c r="A260" s="6"/>
      <c r="C260" s="75"/>
      <c r="D260" s="5"/>
      <c r="E260" s="5"/>
      <c r="F260" s="5"/>
    </row>
    <row r="261" spans="1:8" ht="26.25" customHeight="1">
      <c r="A261" s="6"/>
      <c r="C261" s="75"/>
      <c r="D261" s="5"/>
      <c r="E261" s="5"/>
      <c r="F261" s="5"/>
    </row>
    <row r="262" spans="1:8" ht="26.25" customHeight="1">
      <c r="A262" s="6"/>
      <c r="C262" s="75"/>
      <c r="D262" s="5"/>
      <c r="E262" s="5"/>
      <c r="F262" s="5"/>
    </row>
    <row r="263" spans="1:8" ht="26.25" customHeight="1">
      <c r="A263" s="6"/>
      <c r="C263" s="75"/>
      <c r="D263" s="5"/>
      <c r="E263" s="5"/>
      <c r="F263" s="5"/>
    </row>
    <row r="264" spans="1:8" ht="26.25" customHeight="1">
      <c r="A264" s="6"/>
      <c r="C264" s="75"/>
      <c r="D264" s="5"/>
      <c r="E264" s="5"/>
      <c r="F264" s="5"/>
    </row>
    <row r="265" spans="1:8" ht="26.25" customHeight="1">
      <c r="A265" s="6"/>
      <c r="C265" s="75"/>
      <c r="D265" s="5"/>
      <c r="E265" s="5"/>
      <c r="F265" s="5"/>
    </row>
    <row r="266" spans="1:8" ht="26.25" customHeight="1">
      <c r="A266" s="6"/>
      <c r="C266" s="75"/>
      <c r="D266" s="5"/>
      <c r="E266" s="5"/>
      <c r="F266" s="5"/>
    </row>
    <row r="267" spans="1:8" ht="26.25" customHeight="1">
      <c r="A267" s="6"/>
      <c r="C267" s="75"/>
      <c r="D267" s="5"/>
      <c r="E267" s="5"/>
      <c r="F267" s="5"/>
    </row>
    <row r="268" spans="1:8" ht="26.25" customHeight="1">
      <c r="A268" s="6"/>
    </row>
    <row r="269" spans="1:8" ht="26.25" customHeight="1">
      <c r="A269" s="7"/>
    </row>
    <row r="270" spans="1:8" ht="26.25" customHeight="1">
      <c r="A270" s="7"/>
    </row>
    <row r="271" spans="1:8" ht="26.25" customHeight="1">
      <c r="A271" s="7"/>
    </row>
    <row r="272" spans="1:8" s="285" customFormat="1" ht="26.25" customHeight="1">
      <c r="A272" s="7"/>
      <c r="G272" s="1"/>
      <c r="H272" s="1"/>
    </row>
    <row r="273" spans="1:8" s="285" customFormat="1" ht="26.25" customHeight="1">
      <c r="A273" s="7"/>
      <c r="G273" s="1"/>
      <c r="H273" s="1"/>
    </row>
    <row r="274" spans="1:8" s="285" customFormat="1" ht="26.25" customHeight="1">
      <c r="A274" s="7"/>
      <c r="G274" s="1"/>
      <c r="H274" s="1"/>
    </row>
    <row r="275" spans="1:8" s="285" customFormat="1" ht="26.25" customHeight="1">
      <c r="A275" s="7"/>
      <c r="G275" s="1"/>
      <c r="H275" s="1"/>
    </row>
    <row r="276" spans="1:8" s="285" customFormat="1" ht="26.25" customHeight="1">
      <c r="A276" s="7"/>
      <c r="G276" s="1"/>
      <c r="H276" s="1"/>
    </row>
    <row r="277" spans="1:8" s="285" customFormat="1" ht="26.25" customHeight="1">
      <c r="A277" s="7"/>
      <c r="G277" s="1"/>
      <c r="H277" s="1"/>
    </row>
    <row r="278" spans="1:8" s="285" customFormat="1" ht="26.25" customHeight="1">
      <c r="A278" s="7"/>
      <c r="G278" s="1"/>
      <c r="H278" s="1"/>
    </row>
    <row r="279" spans="1:8" s="285" customFormat="1" ht="26.25" customHeight="1">
      <c r="A279" s="7"/>
      <c r="G279" s="1"/>
      <c r="H279" s="1"/>
    </row>
    <row r="280" spans="1:8" s="285" customFormat="1" ht="26.25" customHeight="1">
      <c r="A280" s="7"/>
      <c r="G280" s="1"/>
      <c r="H280" s="1"/>
    </row>
    <row r="281" spans="1:8" s="285" customFormat="1" ht="26.25" customHeight="1">
      <c r="A281" s="7"/>
      <c r="G281" s="1"/>
      <c r="H281" s="1"/>
    </row>
    <row r="282" spans="1:8" s="285" customFormat="1" ht="26.25" customHeight="1">
      <c r="A282" s="7"/>
      <c r="G282" s="1"/>
      <c r="H282" s="1"/>
    </row>
    <row r="283" spans="1:8" s="285" customFormat="1" ht="26.25" customHeight="1">
      <c r="A283" s="7"/>
      <c r="G283" s="1"/>
      <c r="H283" s="1"/>
    </row>
    <row r="284" spans="1:8" s="285" customFormat="1" ht="26.25" customHeight="1">
      <c r="A284" s="7"/>
      <c r="G284" s="1"/>
      <c r="H284" s="1"/>
    </row>
    <row r="285" spans="1:8" s="285" customFormat="1" ht="26.25" customHeight="1">
      <c r="A285" s="7"/>
      <c r="G285" s="1"/>
      <c r="H285" s="1"/>
    </row>
    <row r="286" spans="1:8" s="285" customFormat="1" ht="26.25" customHeight="1">
      <c r="A286" s="7"/>
      <c r="G286" s="1"/>
      <c r="H286" s="1"/>
    </row>
    <row r="287" spans="1:8" s="285" customFormat="1" ht="26.25" customHeight="1">
      <c r="A287" s="7"/>
      <c r="G287" s="1"/>
      <c r="H287" s="1"/>
    </row>
    <row r="288" spans="1:8" s="285" customFormat="1" ht="26.25" customHeight="1">
      <c r="A288" s="7"/>
      <c r="G288" s="1"/>
      <c r="H288" s="1"/>
    </row>
    <row r="289" spans="1:8" s="285" customFormat="1" ht="26.25" customHeight="1">
      <c r="A289" s="7"/>
      <c r="G289" s="1"/>
      <c r="H289" s="1"/>
    </row>
    <row r="290" spans="1:8" s="285" customFormat="1" ht="26.25" customHeight="1">
      <c r="A290" s="7"/>
      <c r="G290" s="1"/>
      <c r="H290" s="1"/>
    </row>
    <row r="291" spans="1:8" s="285" customFormat="1" ht="26.25" customHeight="1">
      <c r="A291" s="7"/>
      <c r="G291" s="1"/>
      <c r="H291" s="1"/>
    </row>
    <row r="292" spans="1:8" s="285" customFormat="1" ht="26.25" customHeight="1">
      <c r="A292" s="7"/>
      <c r="G292" s="1"/>
      <c r="H292" s="1"/>
    </row>
    <row r="293" spans="1:8" s="285" customFormat="1" ht="26.25" customHeight="1">
      <c r="A293" s="7"/>
      <c r="G293" s="1"/>
      <c r="H293" s="1"/>
    </row>
    <row r="294" spans="1:8" s="285" customFormat="1" ht="26.25" customHeight="1">
      <c r="A294" s="7"/>
      <c r="G294" s="1"/>
      <c r="H294" s="1"/>
    </row>
    <row r="295" spans="1:8" s="285" customFormat="1" ht="26.25" customHeight="1">
      <c r="A295" s="7"/>
      <c r="G295" s="1"/>
      <c r="H295" s="1"/>
    </row>
    <row r="296" spans="1:8" s="285" customFormat="1" ht="26.25" customHeight="1">
      <c r="A296" s="7"/>
      <c r="G296" s="1"/>
      <c r="H296" s="1"/>
    </row>
    <row r="297" spans="1:8" s="285" customFormat="1" ht="26.25" customHeight="1">
      <c r="A297" s="7"/>
      <c r="G297" s="1"/>
      <c r="H297" s="1"/>
    </row>
    <row r="298" spans="1:8" s="285" customFormat="1" ht="26.25" customHeight="1">
      <c r="A298" s="7"/>
      <c r="G298" s="1"/>
      <c r="H298" s="1"/>
    </row>
    <row r="299" spans="1:8" s="285" customFormat="1" ht="26.25" customHeight="1">
      <c r="A299" s="7"/>
      <c r="G299" s="1"/>
      <c r="H299" s="1"/>
    </row>
    <row r="300" spans="1:8" s="285" customFormat="1" ht="26.25" customHeight="1">
      <c r="A300" s="7"/>
      <c r="G300" s="1"/>
      <c r="H300" s="1"/>
    </row>
    <row r="301" spans="1:8" s="285" customFormat="1" ht="26.25" customHeight="1">
      <c r="A301" s="7"/>
      <c r="G301" s="1"/>
      <c r="H301" s="1"/>
    </row>
    <row r="302" spans="1:8" s="285" customFormat="1" ht="26.25" customHeight="1">
      <c r="A302" s="7"/>
      <c r="G302" s="1"/>
      <c r="H302" s="1"/>
    </row>
    <row r="303" spans="1:8" s="285" customFormat="1" ht="26.25" customHeight="1">
      <c r="A303" s="7"/>
      <c r="G303" s="1"/>
      <c r="H303" s="1"/>
    </row>
    <row r="304" spans="1:8" s="285" customFormat="1" ht="26.25" customHeight="1">
      <c r="A304" s="7"/>
      <c r="G304" s="1"/>
      <c r="H304" s="1"/>
    </row>
    <row r="305" spans="1:8" s="285" customFormat="1" ht="26.25" customHeight="1">
      <c r="A305" s="7"/>
      <c r="G305" s="1"/>
      <c r="H305" s="1"/>
    </row>
    <row r="306" spans="1:8" s="285" customFormat="1" ht="26.25" customHeight="1">
      <c r="A306" s="7"/>
      <c r="G306" s="1"/>
      <c r="H306" s="1"/>
    </row>
    <row r="307" spans="1:8" s="285" customFormat="1" ht="26.25" customHeight="1">
      <c r="A307" s="7"/>
      <c r="G307" s="1"/>
      <c r="H307" s="1"/>
    </row>
    <row r="308" spans="1:8" s="285" customFormat="1" ht="26.25" customHeight="1">
      <c r="A308" s="7"/>
      <c r="G308" s="1"/>
      <c r="H308" s="1"/>
    </row>
    <row r="309" spans="1:8" s="285" customFormat="1" ht="26.25" customHeight="1">
      <c r="A309" s="7"/>
      <c r="G309" s="1"/>
      <c r="H309" s="1"/>
    </row>
    <row r="310" spans="1:8" s="285" customFormat="1" ht="26.25" customHeight="1">
      <c r="A310" s="7"/>
      <c r="G310" s="1"/>
      <c r="H310" s="1"/>
    </row>
    <row r="311" spans="1:8" s="285" customFormat="1" ht="26.25" customHeight="1">
      <c r="A311" s="7"/>
      <c r="G311" s="1"/>
      <c r="H311" s="1"/>
    </row>
    <row r="312" spans="1:8" s="285" customFormat="1" ht="26.25" customHeight="1">
      <c r="A312" s="7"/>
      <c r="G312" s="1"/>
      <c r="H312" s="1"/>
    </row>
    <row r="313" spans="1:8" s="285" customFormat="1" ht="26.25" customHeight="1">
      <c r="A313" s="7"/>
      <c r="G313" s="1"/>
      <c r="H313" s="1"/>
    </row>
    <row r="314" spans="1:8" s="285" customFormat="1" ht="26.25" customHeight="1">
      <c r="A314" s="7"/>
      <c r="G314" s="1"/>
      <c r="H314" s="1"/>
    </row>
    <row r="315" spans="1:8" s="285" customFormat="1" ht="26.25" customHeight="1">
      <c r="A315" s="7"/>
      <c r="G315" s="1"/>
      <c r="H315" s="1"/>
    </row>
    <row r="316" spans="1:8" s="285" customFormat="1" ht="26.25" customHeight="1">
      <c r="A316" s="7"/>
      <c r="G316" s="1"/>
      <c r="H316" s="1"/>
    </row>
    <row r="317" spans="1:8" s="285" customFormat="1" ht="26.25" customHeight="1">
      <c r="A317" s="7"/>
      <c r="G317" s="1"/>
      <c r="H317" s="1"/>
    </row>
    <row r="318" spans="1:8" s="285" customFormat="1" ht="26.25" customHeight="1">
      <c r="A318" s="7"/>
      <c r="G318" s="1"/>
      <c r="H318" s="1"/>
    </row>
    <row r="319" spans="1:8" s="285" customFormat="1" ht="26.25" customHeight="1">
      <c r="A319" s="7"/>
      <c r="G319" s="1"/>
      <c r="H319" s="1"/>
    </row>
    <row r="320" spans="1:8" s="285" customFormat="1" ht="26.25" customHeight="1">
      <c r="A320" s="7"/>
      <c r="G320" s="1"/>
      <c r="H320" s="1"/>
    </row>
    <row r="321" spans="1:8" s="285" customFormat="1" ht="26.25" customHeight="1">
      <c r="A321" s="7"/>
      <c r="G321" s="1"/>
      <c r="H321" s="1"/>
    </row>
    <row r="322" spans="1:8" s="285" customFormat="1" ht="26.25" customHeight="1">
      <c r="A322" s="7"/>
      <c r="G322" s="1"/>
      <c r="H322" s="1"/>
    </row>
    <row r="323" spans="1:8" s="285" customFormat="1" ht="26.25" customHeight="1">
      <c r="A323" s="7"/>
      <c r="G323" s="1"/>
      <c r="H323" s="1"/>
    </row>
    <row r="324" spans="1:8" s="285" customFormat="1" ht="26.25" customHeight="1">
      <c r="A324" s="7"/>
      <c r="G324" s="1"/>
      <c r="H324" s="1"/>
    </row>
    <row r="325" spans="1:8" s="285" customFormat="1" ht="26.25" customHeight="1">
      <c r="A325" s="7"/>
      <c r="G325" s="1"/>
      <c r="H325" s="1"/>
    </row>
    <row r="326" spans="1:8" s="285" customFormat="1" ht="26.25" customHeight="1">
      <c r="A326" s="7"/>
      <c r="G326" s="1"/>
      <c r="H326" s="1"/>
    </row>
    <row r="327" spans="1:8" s="285" customFormat="1" ht="26.25" customHeight="1">
      <c r="A327" s="7"/>
      <c r="G327" s="1"/>
      <c r="H327" s="1"/>
    </row>
    <row r="328" spans="1:8" s="285" customFormat="1" ht="26.25" customHeight="1">
      <c r="A328" s="7"/>
      <c r="G328" s="1"/>
      <c r="H328" s="1"/>
    </row>
    <row r="329" spans="1:8" s="285" customFormat="1" ht="26.25" customHeight="1">
      <c r="A329" s="7"/>
      <c r="G329" s="1"/>
      <c r="H329" s="1"/>
    </row>
    <row r="330" spans="1:8" s="285" customFormat="1" ht="26.25" customHeight="1">
      <c r="A330" s="7"/>
      <c r="G330" s="1"/>
      <c r="H330" s="1"/>
    </row>
    <row r="331" spans="1:8" s="285" customFormat="1" ht="26.25" customHeight="1">
      <c r="A331" s="7"/>
      <c r="G331" s="1"/>
      <c r="H331" s="1"/>
    </row>
    <row r="332" spans="1:8" s="285" customFormat="1" ht="26.25" customHeight="1">
      <c r="A332" s="7"/>
      <c r="G332" s="1"/>
      <c r="H332" s="1"/>
    </row>
    <row r="333" spans="1:8" s="285" customFormat="1" ht="26.25" customHeight="1">
      <c r="A333" s="7"/>
      <c r="G333" s="1"/>
      <c r="H333" s="1"/>
    </row>
    <row r="334" spans="1:8" s="285" customFormat="1" ht="26.25" customHeight="1">
      <c r="A334" s="7"/>
      <c r="G334" s="1"/>
      <c r="H334" s="1"/>
    </row>
    <row r="335" spans="1:8" s="285" customFormat="1" ht="26.25" customHeight="1">
      <c r="A335" s="7"/>
      <c r="G335" s="1"/>
      <c r="H335" s="1"/>
    </row>
    <row r="336" spans="1:8" s="285" customFormat="1" ht="26.25" customHeight="1">
      <c r="A336" s="7"/>
      <c r="G336" s="1"/>
      <c r="H336" s="1"/>
    </row>
    <row r="337" spans="1:8" s="285" customFormat="1" ht="26.25" customHeight="1">
      <c r="A337" s="7"/>
      <c r="G337" s="1"/>
      <c r="H337" s="1"/>
    </row>
    <row r="338" spans="1:8" s="285" customFormat="1" ht="26.25" customHeight="1">
      <c r="A338" s="7"/>
      <c r="G338" s="1"/>
      <c r="H338" s="1"/>
    </row>
    <row r="339" spans="1:8" s="285" customFormat="1" ht="26.25" customHeight="1">
      <c r="A339" s="7"/>
      <c r="G339" s="1"/>
      <c r="H339" s="1"/>
    </row>
    <row r="340" spans="1:8" s="285" customFormat="1" ht="26.25" customHeight="1">
      <c r="A340" s="7"/>
      <c r="G340" s="1"/>
      <c r="H340" s="1"/>
    </row>
    <row r="341" spans="1:8" s="285" customFormat="1" ht="26.25" customHeight="1">
      <c r="A341" s="7"/>
      <c r="G341" s="1"/>
      <c r="H341" s="1"/>
    </row>
    <row r="342" spans="1:8" s="285" customFormat="1" ht="26.25" customHeight="1">
      <c r="A342" s="7"/>
      <c r="G342" s="1"/>
      <c r="H342" s="1"/>
    </row>
    <row r="343" spans="1:8" s="285" customFormat="1" ht="26.25" customHeight="1">
      <c r="A343" s="7"/>
      <c r="G343" s="1"/>
      <c r="H343" s="1"/>
    </row>
    <row r="344" spans="1:8" s="285" customFormat="1" ht="26.25" customHeight="1">
      <c r="A344" s="7"/>
      <c r="G344" s="1"/>
      <c r="H344" s="1"/>
    </row>
    <row r="345" spans="1:8" s="285" customFormat="1" ht="26.25" customHeight="1">
      <c r="A345" s="7"/>
      <c r="G345" s="1"/>
      <c r="H345" s="1"/>
    </row>
    <row r="346" spans="1:8" s="285" customFormat="1" ht="26.25" customHeight="1">
      <c r="A346" s="7"/>
      <c r="G346" s="1"/>
      <c r="H346" s="1"/>
    </row>
    <row r="347" spans="1:8" s="285" customFormat="1" ht="26.25" customHeight="1">
      <c r="A347" s="7"/>
      <c r="G347" s="1"/>
      <c r="H347" s="1"/>
    </row>
    <row r="348" spans="1:8" s="285" customFormat="1" ht="26.25" customHeight="1">
      <c r="A348" s="7"/>
      <c r="G348" s="1"/>
      <c r="H348" s="1"/>
    </row>
    <row r="349" spans="1:8" s="285" customFormat="1" ht="26.25" customHeight="1">
      <c r="A349" s="7"/>
      <c r="G349" s="1"/>
      <c r="H349" s="1"/>
    </row>
    <row r="350" spans="1:8" s="285" customFormat="1" ht="26.25" customHeight="1">
      <c r="A350" s="7"/>
      <c r="G350" s="1"/>
      <c r="H350" s="1"/>
    </row>
    <row r="351" spans="1:8" s="285" customFormat="1" ht="26.25" customHeight="1">
      <c r="A351" s="7"/>
      <c r="G351" s="1"/>
      <c r="H351" s="1"/>
    </row>
    <row r="352" spans="1:8" s="285" customFormat="1" ht="26.25" customHeight="1">
      <c r="A352" s="7"/>
      <c r="G352" s="1"/>
      <c r="H352" s="1"/>
    </row>
    <row r="353" spans="1:8" s="285" customFormat="1" ht="26.25" customHeight="1">
      <c r="A353" s="7"/>
      <c r="G353" s="1"/>
      <c r="H353" s="1"/>
    </row>
    <row r="354" spans="1:8" s="285" customFormat="1" ht="26.25" customHeight="1">
      <c r="A354" s="7"/>
      <c r="G354" s="1"/>
      <c r="H354" s="1"/>
    </row>
    <row r="355" spans="1:8" s="285" customFormat="1" ht="26.25" customHeight="1">
      <c r="A355" s="7"/>
      <c r="G355" s="1"/>
      <c r="H355" s="1"/>
    </row>
    <row r="356" spans="1:8" s="285" customFormat="1" ht="26.25" customHeight="1">
      <c r="A356" s="7"/>
      <c r="G356" s="1"/>
      <c r="H356" s="1"/>
    </row>
    <row r="357" spans="1:8" s="285" customFormat="1" ht="26.25" customHeight="1">
      <c r="A357" s="7"/>
      <c r="G357" s="1"/>
      <c r="H357" s="1"/>
    </row>
    <row r="358" spans="1:8" s="285" customFormat="1" ht="26.25" customHeight="1">
      <c r="A358" s="7"/>
      <c r="G358" s="1"/>
      <c r="H358" s="1"/>
    </row>
    <row r="359" spans="1:8" s="285" customFormat="1" ht="26.25" customHeight="1">
      <c r="A359" s="7"/>
      <c r="G359" s="1"/>
      <c r="H359" s="1"/>
    </row>
    <row r="360" spans="1:8" s="285" customFormat="1" ht="26.25" customHeight="1">
      <c r="A360" s="7"/>
      <c r="G360" s="1"/>
      <c r="H360" s="1"/>
    </row>
    <row r="361" spans="1:8" s="285" customFormat="1" ht="26.25" customHeight="1">
      <c r="A361" s="7"/>
      <c r="G361" s="1"/>
      <c r="H361" s="1"/>
    </row>
    <row r="362" spans="1:8" s="285" customFormat="1" ht="26.25" customHeight="1">
      <c r="A362" s="7"/>
      <c r="G362" s="1"/>
      <c r="H362" s="1"/>
    </row>
    <row r="363" spans="1:8" s="285" customFormat="1" ht="26.25" customHeight="1">
      <c r="A363" s="7"/>
      <c r="G363" s="1"/>
      <c r="H363" s="1"/>
    </row>
    <row r="364" spans="1:8" s="285" customFormat="1" ht="26.25" customHeight="1">
      <c r="A364" s="7"/>
      <c r="G364" s="1"/>
      <c r="H364" s="1"/>
    </row>
    <row r="365" spans="1:8" s="285" customFormat="1" ht="26.25" customHeight="1">
      <c r="A365" s="7"/>
      <c r="G365" s="1"/>
      <c r="H365" s="1"/>
    </row>
    <row r="366" spans="1:8" s="285" customFormat="1" ht="26.25" customHeight="1">
      <c r="A366" s="7"/>
      <c r="G366" s="1"/>
      <c r="H366" s="1"/>
    </row>
    <row r="367" spans="1:8" s="285" customFormat="1" ht="26.25" customHeight="1">
      <c r="A367" s="7"/>
      <c r="G367" s="1"/>
      <c r="H367" s="1"/>
    </row>
    <row r="368" spans="1:8" s="285" customFormat="1" ht="26.25" customHeight="1">
      <c r="A368" s="7"/>
      <c r="G368" s="1"/>
      <c r="H368" s="1"/>
    </row>
    <row r="369" spans="1:8" s="285" customFormat="1" ht="26.25" customHeight="1">
      <c r="A369" s="7"/>
      <c r="G369" s="1"/>
      <c r="H369" s="1"/>
    </row>
    <row r="370" spans="1:8" s="285" customFormat="1" ht="26.25" customHeight="1">
      <c r="A370" s="7"/>
      <c r="G370" s="1"/>
      <c r="H370" s="1"/>
    </row>
    <row r="371" spans="1:8" s="285" customFormat="1" ht="26.25" customHeight="1">
      <c r="A371" s="7"/>
      <c r="G371" s="1"/>
      <c r="H371" s="1"/>
    </row>
    <row r="372" spans="1:8" s="285" customFormat="1" ht="26.25" customHeight="1">
      <c r="A372" s="7"/>
      <c r="G372" s="1"/>
      <c r="H372" s="1"/>
    </row>
    <row r="373" spans="1:8" s="285" customFormat="1" ht="26.25" customHeight="1">
      <c r="A373" s="7"/>
      <c r="G373" s="1"/>
      <c r="H373" s="1"/>
    </row>
    <row r="374" spans="1:8" s="285" customFormat="1" ht="26.25" customHeight="1">
      <c r="A374" s="7"/>
      <c r="G374" s="1"/>
      <c r="H374" s="1"/>
    </row>
    <row r="375" spans="1:8" s="285" customFormat="1" ht="26.25" customHeight="1">
      <c r="A375" s="7"/>
      <c r="G375" s="1"/>
      <c r="H375" s="1"/>
    </row>
    <row r="376" spans="1:8" s="285" customFormat="1" ht="26.25" customHeight="1">
      <c r="A376" s="7"/>
      <c r="G376" s="1"/>
      <c r="H376" s="1"/>
    </row>
    <row r="377" spans="1:8" s="285" customFormat="1" ht="26.25" customHeight="1">
      <c r="A377" s="7"/>
      <c r="G377" s="1"/>
      <c r="H377" s="1"/>
    </row>
    <row r="378" spans="1:8" s="285" customFormat="1" ht="26.25" customHeight="1">
      <c r="A378" s="7"/>
      <c r="G378" s="1"/>
      <c r="H378" s="1"/>
    </row>
    <row r="379" spans="1:8" s="285" customFormat="1" ht="26.25" customHeight="1">
      <c r="A379" s="7"/>
      <c r="G379" s="1"/>
      <c r="H379" s="1"/>
    </row>
    <row r="380" spans="1:8" s="285" customFormat="1" ht="26.25" customHeight="1">
      <c r="A380" s="7"/>
      <c r="G380" s="1"/>
      <c r="H380" s="1"/>
    </row>
    <row r="381" spans="1:8" s="285" customFormat="1" ht="26.25" customHeight="1">
      <c r="A381" s="7"/>
      <c r="G381" s="1"/>
      <c r="H381" s="1"/>
    </row>
    <row r="382" spans="1:8" s="285" customFormat="1" ht="26.25" customHeight="1">
      <c r="A382" s="7"/>
      <c r="G382" s="1"/>
      <c r="H382" s="1"/>
    </row>
    <row r="383" spans="1:8" s="285" customFormat="1" ht="26.25" customHeight="1">
      <c r="A383" s="7"/>
      <c r="G383" s="1"/>
      <c r="H383" s="1"/>
    </row>
    <row r="384" spans="1:8" s="285" customFormat="1" ht="26.25" customHeight="1">
      <c r="A384" s="7"/>
      <c r="G384" s="1"/>
      <c r="H384" s="1"/>
    </row>
    <row r="385" spans="1:8" s="285" customFormat="1" ht="26.25" customHeight="1">
      <c r="A385" s="7"/>
      <c r="G385" s="1"/>
      <c r="H385" s="1"/>
    </row>
    <row r="386" spans="1:8" s="285" customFormat="1" ht="26.25" customHeight="1">
      <c r="A386" s="7"/>
      <c r="G386" s="1"/>
      <c r="H386" s="1"/>
    </row>
    <row r="387" spans="1:8" s="285" customFormat="1" ht="26.25" customHeight="1">
      <c r="A387" s="7"/>
      <c r="G387" s="1"/>
      <c r="H387" s="1"/>
    </row>
    <row r="388" spans="1:8" s="285" customFormat="1" ht="26.25" customHeight="1">
      <c r="A388" s="7"/>
      <c r="G388" s="1"/>
      <c r="H388" s="1"/>
    </row>
    <row r="389" spans="1:8" s="285" customFormat="1" ht="26.25" customHeight="1">
      <c r="A389" s="7"/>
      <c r="G389" s="1"/>
      <c r="H389" s="1"/>
    </row>
    <row r="390" spans="1:8" s="285" customFormat="1" ht="26.25" customHeight="1">
      <c r="A390" s="7"/>
      <c r="G390" s="1"/>
      <c r="H390" s="1"/>
    </row>
    <row r="391" spans="1:8" s="285" customFormat="1" ht="26.25" customHeight="1">
      <c r="A391" s="7"/>
      <c r="G391" s="1"/>
      <c r="H391" s="1"/>
    </row>
    <row r="392" spans="1:8" s="285" customFormat="1" ht="26.25" customHeight="1">
      <c r="A392" s="7"/>
      <c r="G392" s="1"/>
      <c r="H392" s="1"/>
    </row>
    <row r="393" spans="1:8" s="285" customFormat="1" ht="26.25" customHeight="1">
      <c r="A393" s="7"/>
      <c r="G393" s="1"/>
      <c r="H393" s="1"/>
    </row>
    <row r="394" spans="1:8" s="285" customFormat="1" ht="26.25" customHeight="1">
      <c r="A394" s="7"/>
      <c r="G394" s="1"/>
      <c r="H394" s="1"/>
    </row>
    <row r="395" spans="1:8" s="285" customFormat="1" ht="26.25" customHeight="1">
      <c r="A395" s="7"/>
      <c r="G395" s="1"/>
      <c r="H395" s="1"/>
    </row>
    <row r="396" spans="1:8" s="285" customFormat="1" ht="26.25" customHeight="1">
      <c r="A396" s="7"/>
      <c r="G396" s="1"/>
      <c r="H396" s="1"/>
    </row>
    <row r="397" spans="1:8" s="285" customFormat="1" ht="26.25" customHeight="1">
      <c r="A397" s="7"/>
      <c r="G397" s="1"/>
      <c r="H397" s="1"/>
    </row>
    <row r="398" spans="1:8" s="285" customFormat="1" ht="26.25" customHeight="1">
      <c r="A398" s="7"/>
      <c r="G398" s="1"/>
      <c r="H398" s="1"/>
    </row>
    <row r="399" spans="1:8" s="285" customFormat="1" ht="26.25" customHeight="1">
      <c r="A399" s="7"/>
      <c r="G399" s="1"/>
      <c r="H399" s="1"/>
    </row>
    <row r="400" spans="1:8" s="285" customFormat="1" ht="26.25" customHeight="1">
      <c r="A400" s="7"/>
      <c r="G400" s="1"/>
      <c r="H400" s="1"/>
    </row>
    <row r="401" spans="1:8" s="285" customFormat="1" ht="26.25" customHeight="1">
      <c r="A401" s="7"/>
      <c r="G401" s="1"/>
      <c r="H401" s="1"/>
    </row>
    <row r="402" spans="1:8" s="285" customFormat="1" ht="26.25" customHeight="1">
      <c r="A402" s="7"/>
      <c r="G402" s="1"/>
      <c r="H402" s="1"/>
    </row>
    <row r="403" spans="1:8" s="285" customFormat="1" ht="26.25" customHeight="1">
      <c r="A403" s="7"/>
      <c r="G403" s="1"/>
      <c r="H403" s="1"/>
    </row>
    <row r="404" spans="1:8" s="285" customFormat="1" ht="26.25" customHeight="1">
      <c r="A404" s="7"/>
      <c r="G404" s="1"/>
      <c r="H404" s="1"/>
    </row>
    <row r="405" spans="1:8" s="285" customFormat="1" ht="26.25" customHeight="1">
      <c r="A405" s="7"/>
      <c r="G405" s="1"/>
      <c r="H405" s="1"/>
    </row>
    <row r="406" spans="1:8" s="285" customFormat="1" ht="26.25" customHeight="1">
      <c r="A406" s="7"/>
      <c r="G406" s="1"/>
      <c r="H406" s="1"/>
    </row>
    <row r="407" spans="1:8" s="285" customFormat="1" ht="26.25" customHeight="1">
      <c r="A407" s="7"/>
      <c r="G407" s="1"/>
      <c r="H407" s="1"/>
    </row>
    <row r="408" spans="1:8" s="285" customFormat="1" ht="26.25" customHeight="1">
      <c r="A408" s="7"/>
      <c r="G408" s="1"/>
      <c r="H408" s="1"/>
    </row>
    <row r="409" spans="1:8" s="285" customFormat="1" ht="26.25" customHeight="1">
      <c r="A409" s="7"/>
      <c r="G409" s="1"/>
      <c r="H409" s="1"/>
    </row>
    <row r="410" spans="1:8" s="285" customFormat="1" ht="26.25" customHeight="1">
      <c r="A410" s="7"/>
      <c r="G410" s="1"/>
      <c r="H410" s="1"/>
    </row>
    <row r="411" spans="1:8" s="285" customFormat="1" ht="26.25" customHeight="1">
      <c r="A411" s="7"/>
      <c r="G411" s="1"/>
      <c r="H411" s="1"/>
    </row>
    <row r="412" spans="1:8" s="285" customFormat="1" ht="26.25" customHeight="1">
      <c r="A412" s="7"/>
      <c r="G412" s="1"/>
      <c r="H412" s="1"/>
    </row>
    <row r="413" spans="1:8" s="285" customFormat="1" ht="26.25" customHeight="1">
      <c r="A413" s="7"/>
      <c r="G413" s="1"/>
      <c r="H413" s="1"/>
    </row>
    <row r="414" spans="1:8" s="285" customFormat="1" ht="26.25" customHeight="1">
      <c r="A414" s="7"/>
      <c r="G414" s="1"/>
      <c r="H414" s="1"/>
    </row>
    <row r="415" spans="1:8" s="285" customFormat="1" ht="26.25" customHeight="1">
      <c r="A415" s="7"/>
      <c r="G415" s="1"/>
      <c r="H415" s="1"/>
    </row>
    <row r="416" spans="1:8" s="285" customFormat="1" ht="26.25" customHeight="1">
      <c r="A416" s="7"/>
      <c r="G416" s="1"/>
      <c r="H416" s="1"/>
    </row>
    <row r="417" spans="1:8" s="285" customFormat="1" ht="26.25" customHeight="1">
      <c r="A417" s="7"/>
      <c r="G417" s="1"/>
      <c r="H417" s="1"/>
    </row>
    <row r="418" spans="1:8" s="285" customFormat="1" ht="26.25" customHeight="1">
      <c r="A418" s="7"/>
      <c r="G418" s="1"/>
      <c r="H418" s="1"/>
    </row>
    <row r="419" spans="1:8" s="285" customFormat="1" ht="26.25" customHeight="1">
      <c r="A419" s="7"/>
      <c r="G419" s="1"/>
      <c r="H419" s="1"/>
    </row>
    <row r="420" spans="1:8" s="285" customFormat="1" ht="26.25" customHeight="1">
      <c r="A420" s="7"/>
      <c r="G420" s="1"/>
      <c r="H420" s="1"/>
    </row>
    <row r="421" spans="1:8" s="285" customFormat="1" ht="26.25" customHeight="1">
      <c r="A421" s="7"/>
      <c r="G421" s="1"/>
      <c r="H421" s="1"/>
    </row>
    <row r="422" spans="1:8" s="285" customFormat="1" ht="26.25" customHeight="1">
      <c r="A422" s="7"/>
      <c r="G422" s="1"/>
      <c r="H422" s="1"/>
    </row>
    <row r="423" spans="1:8" s="285" customFormat="1" ht="26.25" customHeight="1">
      <c r="A423" s="7"/>
      <c r="G423" s="1"/>
      <c r="H423" s="1"/>
    </row>
    <row r="424" spans="1:8" s="285" customFormat="1" ht="26.25" customHeight="1">
      <c r="A424" s="7"/>
      <c r="G424" s="1"/>
      <c r="H424" s="1"/>
    </row>
    <row r="425" spans="1:8" s="285" customFormat="1" ht="26.25" customHeight="1">
      <c r="A425" s="7"/>
      <c r="G425" s="1"/>
      <c r="H425" s="1"/>
    </row>
    <row r="426" spans="1:8" s="285" customFormat="1" ht="26.25" customHeight="1">
      <c r="A426" s="7"/>
      <c r="G426" s="1"/>
      <c r="H426" s="1"/>
    </row>
    <row r="427" spans="1:8" s="285" customFormat="1" ht="26.25" customHeight="1">
      <c r="A427" s="7"/>
      <c r="G427" s="1"/>
      <c r="H427" s="1"/>
    </row>
    <row r="428" spans="1:8" s="285" customFormat="1" ht="26.25" customHeight="1">
      <c r="A428" s="7"/>
      <c r="G428" s="1"/>
      <c r="H428" s="1"/>
    </row>
    <row r="429" spans="1:8" s="285" customFormat="1" ht="26.25" customHeight="1">
      <c r="A429" s="7"/>
      <c r="G429" s="1"/>
      <c r="H429" s="1"/>
    </row>
    <row r="430" spans="1:8" s="285" customFormat="1" ht="26.25" customHeight="1">
      <c r="A430" s="7"/>
      <c r="G430" s="1"/>
      <c r="H430" s="1"/>
    </row>
    <row r="431" spans="1:8" s="285" customFormat="1" ht="26.25" customHeight="1">
      <c r="A431" s="7"/>
      <c r="G431" s="1"/>
      <c r="H431" s="1"/>
    </row>
    <row r="432" spans="1:8" s="285" customFormat="1" ht="26.25" customHeight="1">
      <c r="A432" s="7"/>
      <c r="G432" s="1"/>
      <c r="H432" s="1"/>
    </row>
    <row r="433" spans="1:8" s="285" customFormat="1" ht="26.25" customHeight="1">
      <c r="A433" s="7"/>
      <c r="G433" s="1"/>
      <c r="H433" s="1"/>
    </row>
    <row r="434" spans="1:8" s="285" customFormat="1" ht="26.25" customHeight="1">
      <c r="A434" s="7"/>
      <c r="G434" s="1"/>
      <c r="H434" s="1"/>
    </row>
    <row r="435" spans="1:8" s="285" customFormat="1" ht="26.25" customHeight="1">
      <c r="A435" s="7"/>
      <c r="G435" s="1"/>
      <c r="H435" s="1"/>
    </row>
  </sheetData>
  <mergeCells count="5">
    <mergeCell ref="A2:F2"/>
    <mergeCell ref="C212:D212"/>
    <mergeCell ref="F212:G212"/>
    <mergeCell ref="C213:D213"/>
    <mergeCell ref="F213:G213"/>
  </mergeCells>
  <hyperlinks>
    <hyperlink ref="A203" r:id="rId1" display="https://www.dzo.com.ua/tenders/20078403"/>
    <hyperlink ref="A209" r:id="rId2" display="https://www.dzo.com.ua/tenders/20078403"/>
    <hyperlink ref="A207" r:id="rId3" display="https://www.dzo.com.ua/tenders/20078403"/>
    <hyperlink ref="A205" r:id="rId4" display="https://www.dzo.com.ua/tenders/20078403"/>
  </hyperlinks>
  <pageMargins left="0.39370078740157483" right="0.39370078740157483" top="0.78740157480314965" bottom="0.39370078740157483" header="0.31496062992125984" footer="0.31496062992125984"/>
  <pageSetup paperSize="9" scale="83" fitToHeight="13" orientation="landscape" verticalDpi="0" r:id="rId5"/>
  <colBreaks count="1" manualBreakCount="1">
    <brk id="7" max="27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1:J532"/>
  <sheetViews>
    <sheetView view="pageBreakPreview" topLeftCell="A145" zoomScale="70" zoomScaleSheetLayoutView="70" workbookViewId="0">
      <selection activeCell="A155" sqref="A155"/>
    </sheetView>
  </sheetViews>
  <sheetFormatPr defaultRowHeight="18.75"/>
  <cols>
    <col min="1" max="1" width="60.28515625" style="78" customWidth="1"/>
    <col min="2" max="2" width="13.140625" style="213" customWidth="1"/>
    <col min="3" max="3" width="16.140625" style="213" customWidth="1"/>
    <col min="4" max="4" width="16.7109375" style="213" customWidth="1"/>
    <col min="5" max="5" width="16.140625" style="213" customWidth="1"/>
    <col min="6" max="6" width="16" style="213" customWidth="1"/>
    <col min="7" max="7" width="16.42578125" style="78" customWidth="1"/>
    <col min="8" max="8" width="68.28515625" style="78" customWidth="1"/>
    <col min="9" max="9" width="12" style="78" bestFit="1" customWidth="1"/>
    <col min="10" max="10" width="14.42578125" style="78" bestFit="1" customWidth="1"/>
    <col min="11" max="16384" width="9.140625" style="78"/>
  </cols>
  <sheetData>
    <row r="1" spans="1:10" ht="27.75" customHeight="1">
      <c r="A1" s="551" t="s">
        <v>102</v>
      </c>
      <c r="B1" s="551"/>
      <c r="C1" s="551"/>
      <c r="D1" s="551"/>
      <c r="E1" s="551"/>
      <c r="F1" s="551"/>
    </row>
    <row r="2" spans="1:10" ht="19.5" customHeight="1">
      <c r="A2" s="200"/>
      <c r="B2" s="413" t="s">
        <v>277</v>
      </c>
      <c r="C2" s="200"/>
      <c r="D2" s="200"/>
      <c r="E2" s="200"/>
      <c r="F2" s="201"/>
      <c r="G2" s="77" t="s">
        <v>64</v>
      </c>
    </row>
    <row r="3" spans="1:10" ht="64.5" customHeight="1">
      <c r="A3" s="11" t="s">
        <v>23</v>
      </c>
      <c r="B3" s="36" t="s">
        <v>5</v>
      </c>
      <c r="C3" s="36" t="s">
        <v>458</v>
      </c>
      <c r="D3" s="36" t="s">
        <v>459</v>
      </c>
      <c r="E3" s="36" t="s">
        <v>460</v>
      </c>
      <c r="F3" s="202" t="s">
        <v>112</v>
      </c>
      <c r="G3" s="36" t="s">
        <v>113</v>
      </c>
    </row>
    <row r="4" spans="1:10" ht="24.75" customHeight="1">
      <c r="A4" s="11">
        <v>1</v>
      </c>
      <c r="B4" s="36">
        <v>2</v>
      </c>
      <c r="C4" s="36">
        <v>3</v>
      </c>
      <c r="D4" s="36">
        <v>4</v>
      </c>
      <c r="E4" s="36">
        <v>5</v>
      </c>
      <c r="F4" s="36">
        <v>6</v>
      </c>
      <c r="G4" s="11">
        <v>7</v>
      </c>
    </row>
    <row r="5" spans="1:10" ht="49.5" customHeight="1">
      <c r="A5" s="406" t="s">
        <v>13</v>
      </c>
      <c r="B5" s="360">
        <v>4000</v>
      </c>
      <c r="C5" s="407">
        <f>C8+C97+C300</f>
        <v>27336.6</v>
      </c>
      <c r="D5" s="407">
        <f>D8+D97+D300+D6+D297</f>
        <v>31463.8</v>
      </c>
      <c r="E5" s="407">
        <f>E8+E97+E300+E6+E297</f>
        <v>36651.799999999996</v>
      </c>
      <c r="F5" s="407">
        <f>E5-D5</f>
        <v>5187.9999999999964</v>
      </c>
      <c r="G5" s="408">
        <f>(E5/D5)*100</f>
        <v>116.48879029233595</v>
      </c>
      <c r="J5" s="220"/>
    </row>
    <row r="6" spans="1:10" s="204" customFormat="1" ht="28.5" customHeight="1">
      <c r="A6" s="409" t="s">
        <v>533</v>
      </c>
      <c r="B6" s="358">
        <v>4010</v>
      </c>
      <c r="C6" s="410"/>
      <c r="D6" s="410">
        <f>D7</f>
        <v>140</v>
      </c>
      <c r="E6" s="410">
        <f>E7</f>
        <v>1738.3</v>
      </c>
      <c r="F6" s="410">
        <f t="shared" ref="F6:F69" si="0">E6-D6</f>
        <v>1598.3</v>
      </c>
      <c r="G6" s="411">
        <f t="shared" ref="G6:G69" si="1">(E6/D6)*100</f>
        <v>1241.6428571428571</v>
      </c>
      <c r="H6" s="221"/>
    </row>
    <row r="7" spans="1:10" ht="79.5" customHeight="1">
      <c r="A7" s="12" t="s">
        <v>534</v>
      </c>
      <c r="B7" s="36"/>
      <c r="C7" s="166"/>
      <c r="D7" s="166">
        <v>140</v>
      </c>
      <c r="E7" s="166">
        <v>1738.3</v>
      </c>
      <c r="F7" s="166">
        <f t="shared" si="0"/>
        <v>1598.3</v>
      </c>
      <c r="G7" s="163">
        <f t="shared" si="1"/>
        <v>1241.6428571428571</v>
      </c>
    </row>
    <row r="8" spans="1:10" ht="28.5" customHeight="1">
      <c r="A8" s="409" t="s">
        <v>0</v>
      </c>
      <c r="B8" s="358">
        <v>4020</v>
      </c>
      <c r="C8" s="410">
        <f>SUM(C9:C94)</f>
        <v>11533.8</v>
      </c>
      <c r="D8" s="410">
        <f>SUM(D9:D94)</f>
        <v>1910</v>
      </c>
      <c r="E8" s="410">
        <f>SUM(E9:E96)</f>
        <v>12310.499999999995</v>
      </c>
      <c r="F8" s="407">
        <f t="shared" si="0"/>
        <v>10400.499999999995</v>
      </c>
      <c r="G8" s="408">
        <f t="shared" si="1"/>
        <v>644.52879581151808</v>
      </c>
      <c r="H8" s="205" t="s">
        <v>424</v>
      </c>
      <c r="I8" s="166">
        <v>83.2</v>
      </c>
    </row>
    <row r="9" spans="1:10" ht="27.75" customHeight="1">
      <c r="A9" s="12" t="s">
        <v>461</v>
      </c>
      <c r="B9" s="36"/>
      <c r="C9" s="166">
        <v>5148</v>
      </c>
      <c r="D9" s="166"/>
      <c r="E9" s="166"/>
      <c r="F9" s="166">
        <f t="shared" si="0"/>
        <v>0</v>
      </c>
      <c r="G9" s="417" t="e">
        <f t="shared" si="1"/>
        <v>#DIV/0!</v>
      </c>
      <c r="H9" s="205" t="s">
        <v>425</v>
      </c>
      <c r="I9" s="166">
        <v>46.4</v>
      </c>
    </row>
    <row r="10" spans="1:10" ht="27.75" customHeight="1">
      <c r="A10" s="12" t="s">
        <v>462</v>
      </c>
      <c r="B10" s="33"/>
      <c r="C10" s="166">
        <v>191.8</v>
      </c>
      <c r="D10" s="203"/>
      <c r="E10" s="203"/>
      <c r="F10" s="82">
        <f t="shared" si="0"/>
        <v>0</v>
      </c>
      <c r="G10" s="417" t="e">
        <f t="shared" si="1"/>
        <v>#DIV/0!</v>
      </c>
    </row>
    <row r="11" spans="1:10" ht="40.5" customHeight="1">
      <c r="A11" s="12" t="s">
        <v>463</v>
      </c>
      <c r="B11" s="33"/>
      <c r="C11" s="166">
        <v>217</v>
      </c>
      <c r="D11" s="203"/>
      <c r="E11" s="203"/>
      <c r="F11" s="82">
        <f t="shared" si="0"/>
        <v>0</v>
      </c>
      <c r="G11" s="417" t="e">
        <f t="shared" si="1"/>
        <v>#DIV/0!</v>
      </c>
    </row>
    <row r="12" spans="1:10" ht="37.5" customHeight="1">
      <c r="A12" s="12" t="s">
        <v>464</v>
      </c>
      <c r="B12" s="33"/>
      <c r="C12" s="166">
        <v>116.8</v>
      </c>
      <c r="D12" s="203"/>
      <c r="E12" s="203"/>
      <c r="F12" s="82">
        <f t="shared" si="0"/>
        <v>0</v>
      </c>
      <c r="G12" s="417" t="e">
        <f t="shared" si="1"/>
        <v>#DIV/0!</v>
      </c>
    </row>
    <row r="13" spans="1:10" ht="26.25" customHeight="1">
      <c r="A13" s="12" t="s">
        <v>465</v>
      </c>
      <c r="B13" s="33"/>
      <c r="C13" s="166">
        <v>340</v>
      </c>
      <c r="D13" s="203"/>
      <c r="E13" s="203"/>
      <c r="F13" s="82">
        <f t="shared" si="0"/>
        <v>0</v>
      </c>
      <c r="G13" s="417" t="e">
        <f t="shared" si="1"/>
        <v>#DIV/0!</v>
      </c>
    </row>
    <row r="14" spans="1:10" ht="23.25" customHeight="1">
      <c r="A14" s="12" t="s">
        <v>466</v>
      </c>
      <c r="B14" s="33"/>
      <c r="C14" s="166">
        <v>901.2</v>
      </c>
      <c r="D14" s="203"/>
      <c r="E14" s="203"/>
      <c r="F14" s="82">
        <f t="shared" si="0"/>
        <v>0</v>
      </c>
      <c r="G14" s="417" t="e">
        <f t="shared" si="1"/>
        <v>#DIV/0!</v>
      </c>
    </row>
    <row r="15" spans="1:10" ht="27" customHeight="1">
      <c r="A15" s="16" t="s">
        <v>467</v>
      </c>
      <c r="B15" s="206"/>
      <c r="C15" s="166">
        <v>40</v>
      </c>
      <c r="D15" s="203"/>
      <c r="E15" s="166"/>
      <c r="F15" s="82">
        <f t="shared" si="0"/>
        <v>0</v>
      </c>
      <c r="G15" s="417" t="e">
        <f t="shared" si="1"/>
        <v>#DIV/0!</v>
      </c>
    </row>
    <row r="16" spans="1:10" ht="27.75" customHeight="1">
      <c r="A16" s="16" t="s">
        <v>468</v>
      </c>
      <c r="B16" s="206"/>
      <c r="C16" s="166">
        <v>30.5</v>
      </c>
      <c r="D16" s="203"/>
      <c r="E16" s="166"/>
      <c r="F16" s="82">
        <f t="shared" si="0"/>
        <v>0</v>
      </c>
      <c r="G16" s="417" t="e">
        <f t="shared" si="1"/>
        <v>#DIV/0!</v>
      </c>
    </row>
    <row r="17" spans="1:7" ht="37.5" customHeight="1">
      <c r="A17" s="16" t="s">
        <v>274</v>
      </c>
      <c r="B17" s="206"/>
      <c r="C17" s="166">
        <v>258.5</v>
      </c>
      <c r="D17" s="203"/>
      <c r="E17" s="166"/>
      <c r="F17" s="82">
        <f t="shared" si="0"/>
        <v>0</v>
      </c>
      <c r="G17" s="417" t="e">
        <f t="shared" si="1"/>
        <v>#DIV/0!</v>
      </c>
    </row>
    <row r="18" spans="1:7" ht="30" customHeight="1">
      <c r="A18" s="16" t="s">
        <v>469</v>
      </c>
      <c r="B18" s="206"/>
      <c r="C18" s="166">
        <v>860</v>
      </c>
      <c r="D18" s="203"/>
      <c r="E18" s="166"/>
      <c r="F18" s="82">
        <f t="shared" si="0"/>
        <v>0</v>
      </c>
      <c r="G18" s="417" t="e">
        <f t="shared" si="1"/>
        <v>#DIV/0!</v>
      </c>
    </row>
    <row r="19" spans="1:7" ht="30" customHeight="1">
      <c r="A19" s="16" t="s">
        <v>275</v>
      </c>
      <c r="B19" s="206"/>
      <c r="C19" s="166">
        <v>25.6</v>
      </c>
      <c r="D19" s="203"/>
      <c r="E19" s="166"/>
      <c r="F19" s="82">
        <f t="shared" si="0"/>
        <v>0</v>
      </c>
      <c r="G19" s="417" t="e">
        <f t="shared" si="1"/>
        <v>#DIV/0!</v>
      </c>
    </row>
    <row r="20" spans="1:7" ht="30" customHeight="1">
      <c r="A20" s="16" t="s">
        <v>470</v>
      </c>
      <c r="B20" s="206"/>
      <c r="C20" s="166">
        <v>385.2</v>
      </c>
      <c r="D20" s="203"/>
      <c r="E20" s="166"/>
      <c r="F20" s="82">
        <f t="shared" si="0"/>
        <v>0</v>
      </c>
      <c r="G20" s="417" t="e">
        <f t="shared" si="1"/>
        <v>#DIV/0!</v>
      </c>
    </row>
    <row r="21" spans="1:7" ht="39.75" customHeight="1">
      <c r="A21" s="16" t="s">
        <v>276</v>
      </c>
      <c r="B21" s="206"/>
      <c r="C21" s="166">
        <v>593.29999999999995</v>
      </c>
      <c r="D21" s="203"/>
      <c r="E21" s="166"/>
      <c r="F21" s="82">
        <f t="shared" si="0"/>
        <v>0</v>
      </c>
      <c r="G21" s="417" t="e">
        <f t="shared" si="1"/>
        <v>#DIV/0!</v>
      </c>
    </row>
    <row r="22" spans="1:7" ht="30.75" customHeight="1">
      <c r="A22" s="16" t="s">
        <v>471</v>
      </c>
      <c r="B22" s="206"/>
      <c r="C22" s="166">
        <v>42.1</v>
      </c>
      <c r="D22" s="203"/>
      <c r="E22" s="166"/>
      <c r="F22" s="82">
        <f t="shared" si="0"/>
        <v>0</v>
      </c>
      <c r="G22" s="417" t="e">
        <f t="shared" si="1"/>
        <v>#DIV/0!</v>
      </c>
    </row>
    <row r="23" spans="1:7" ht="26.25" customHeight="1">
      <c r="A23" s="19" t="s">
        <v>366</v>
      </c>
      <c r="B23" s="206"/>
      <c r="C23" s="166">
        <v>368.3</v>
      </c>
      <c r="D23" s="203"/>
      <c r="E23" s="166"/>
      <c r="F23" s="82">
        <f t="shared" si="0"/>
        <v>0</v>
      </c>
      <c r="G23" s="417" t="e">
        <f t="shared" si="1"/>
        <v>#DIV/0!</v>
      </c>
    </row>
    <row r="24" spans="1:7" ht="26.25" customHeight="1">
      <c r="A24" s="16" t="s">
        <v>367</v>
      </c>
      <c r="B24" s="206"/>
      <c r="C24" s="166">
        <v>40</v>
      </c>
      <c r="D24" s="203"/>
      <c r="E24" s="166"/>
      <c r="F24" s="82">
        <f t="shared" si="0"/>
        <v>0</v>
      </c>
      <c r="G24" s="417" t="e">
        <f t="shared" si="1"/>
        <v>#DIV/0!</v>
      </c>
    </row>
    <row r="25" spans="1:7" ht="43.5" customHeight="1">
      <c r="A25" s="16" t="s">
        <v>472</v>
      </c>
      <c r="B25" s="206"/>
      <c r="C25" s="166">
        <v>25.9</v>
      </c>
      <c r="D25" s="166"/>
      <c r="E25" s="166"/>
      <c r="F25" s="82">
        <f t="shared" si="0"/>
        <v>0</v>
      </c>
      <c r="G25" s="417" t="e">
        <f t="shared" si="1"/>
        <v>#DIV/0!</v>
      </c>
    </row>
    <row r="26" spans="1:7" ht="48.75" customHeight="1">
      <c r="A26" s="16" t="s">
        <v>473</v>
      </c>
      <c r="B26" s="206"/>
      <c r="C26" s="166">
        <v>113.6</v>
      </c>
      <c r="D26" s="166"/>
      <c r="E26" s="166"/>
      <c r="F26" s="82">
        <f t="shared" si="0"/>
        <v>0</v>
      </c>
      <c r="G26" s="417" t="e">
        <f t="shared" si="1"/>
        <v>#DIV/0!</v>
      </c>
    </row>
    <row r="27" spans="1:7" ht="30" customHeight="1">
      <c r="A27" s="16" t="s">
        <v>474</v>
      </c>
      <c r="B27" s="206"/>
      <c r="C27" s="166">
        <v>590</v>
      </c>
      <c r="D27" s="166"/>
      <c r="E27" s="166"/>
      <c r="F27" s="82">
        <f t="shared" si="0"/>
        <v>0</v>
      </c>
      <c r="G27" s="417" t="e">
        <f t="shared" si="1"/>
        <v>#DIV/0!</v>
      </c>
    </row>
    <row r="28" spans="1:7" ht="43.5" customHeight="1">
      <c r="A28" s="16" t="s">
        <v>475</v>
      </c>
      <c r="B28" s="206"/>
      <c r="C28" s="166">
        <v>688.5</v>
      </c>
      <c r="D28" s="166"/>
      <c r="E28" s="166"/>
      <c r="F28" s="82">
        <f t="shared" si="0"/>
        <v>0</v>
      </c>
      <c r="G28" s="417" t="e">
        <f t="shared" si="1"/>
        <v>#DIV/0!</v>
      </c>
    </row>
    <row r="29" spans="1:7" ht="41.25" customHeight="1">
      <c r="A29" s="16" t="s">
        <v>476</v>
      </c>
      <c r="B29" s="206"/>
      <c r="C29" s="166">
        <v>231.2</v>
      </c>
      <c r="D29" s="166"/>
      <c r="E29" s="166"/>
      <c r="F29" s="82">
        <f t="shared" si="0"/>
        <v>0</v>
      </c>
      <c r="G29" s="417" t="e">
        <f t="shared" si="1"/>
        <v>#DIV/0!</v>
      </c>
    </row>
    <row r="30" spans="1:7" ht="30" customHeight="1">
      <c r="A30" s="16" t="s">
        <v>477</v>
      </c>
      <c r="B30" s="206"/>
      <c r="C30" s="166">
        <v>141</v>
      </c>
      <c r="D30" s="166"/>
      <c r="E30" s="166"/>
      <c r="F30" s="82">
        <f t="shared" si="0"/>
        <v>0</v>
      </c>
      <c r="G30" s="417" t="e">
        <f t="shared" si="1"/>
        <v>#DIV/0!</v>
      </c>
    </row>
    <row r="31" spans="1:7" ht="42.75" customHeight="1">
      <c r="A31" s="16" t="s">
        <v>478</v>
      </c>
      <c r="B31" s="206"/>
      <c r="C31" s="166">
        <v>97.8</v>
      </c>
      <c r="D31" s="166"/>
      <c r="E31" s="166"/>
      <c r="F31" s="82">
        <f t="shared" si="0"/>
        <v>0</v>
      </c>
      <c r="G31" s="417" t="e">
        <f t="shared" si="1"/>
        <v>#DIV/0!</v>
      </c>
    </row>
    <row r="32" spans="1:7" ht="30.75" customHeight="1">
      <c r="A32" s="16" t="s">
        <v>479</v>
      </c>
      <c r="B32" s="206"/>
      <c r="C32" s="166">
        <v>34.5</v>
      </c>
      <c r="D32" s="166"/>
      <c r="E32" s="166"/>
      <c r="F32" s="82">
        <f t="shared" si="0"/>
        <v>0</v>
      </c>
      <c r="G32" s="417" t="e">
        <f t="shared" si="1"/>
        <v>#DIV/0!</v>
      </c>
    </row>
    <row r="33" spans="1:7" ht="57.75" customHeight="1">
      <c r="A33" s="16" t="s">
        <v>480</v>
      </c>
      <c r="B33" s="206"/>
      <c r="C33" s="166">
        <v>53</v>
      </c>
      <c r="D33" s="166"/>
      <c r="E33" s="166"/>
      <c r="F33" s="82">
        <f t="shared" si="0"/>
        <v>0</v>
      </c>
      <c r="G33" s="417" t="e">
        <f t="shared" si="1"/>
        <v>#DIV/0!</v>
      </c>
    </row>
    <row r="34" spans="1:7" ht="25.5" customHeight="1">
      <c r="A34" s="16" t="s">
        <v>529</v>
      </c>
      <c r="B34" s="206"/>
      <c r="C34" s="166"/>
      <c r="D34" s="166">
        <v>93.8</v>
      </c>
      <c r="E34" s="166"/>
      <c r="F34" s="82">
        <f t="shared" si="0"/>
        <v>-93.8</v>
      </c>
      <c r="G34" s="163">
        <f t="shared" si="1"/>
        <v>0</v>
      </c>
    </row>
    <row r="35" spans="1:7" ht="26.25" customHeight="1">
      <c r="A35" s="16" t="s">
        <v>530</v>
      </c>
      <c r="B35" s="206"/>
      <c r="C35" s="166"/>
      <c r="D35" s="166">
        <v>75</v>
      </c>
      <c r="E35" s="166"/>
      <c r="F35" s="82">
        <f t="shared" si="0"/>
        <v>-75</v>
      </c>
      <c r="G35" s="163">
        <f t="shared" si="1"/>
        <v>0</v>
      </c>
    </row>
    <row r="36" spans="1:7" ht="30" customHeight="1">
      <c r="A36" s="16" t="s">
        <v>531</v>
      </c>
      <c r="B36" s="206"/>
      <c r="C36" s="166"/>
      <c r="D36" s="166">
        <v>41.2</v>
      </c>
      <c r="E36" s="166"/>
      <c r="F36" s="82">
        <f t="shared" si="0"/>
        <v>-41.2</v>
      </c>
      <c r="G36" s="163">
        <f t="shared" si="1"/>
        <v>0</v>
      </c>
    </row>
    <row r="37" spans="1:7" ht="30" customHeight="1">
      <c r="A37" s="16" t="s">
        <v>532</v>
      </c>
      <c r="B37" s="206"/>
      <c r="C37" s="166"/>
      <c r="D37" s="166">
        <v>1700</v>
      </c>
      <c r="E37" s="166"/>
      <c r="F37" s="82">
        <f t="shared" si="0"/>
        <v>-1700</v>
      </c>
      <c r="G37" s="163">
        <f t="shared" si="1"/>
        <v>0</v>
      </c>
    </row>
    <row r="38" spans="1:7" ht="40.5" customHeight="1">
      <c r="A38" s="16" t="s">
        <v>312</v>
      </c>
      <c r="B38" s="206"/>
      <c r="C38" s="166"/>
      <c r="D38" s="166"/>
      <c r="E38" s="166">
        <v>29.9</v>
      </c>
      <c r="F38" s="82">
        <f t="shared" si="0"/>
        <v>29.9</v>
      </c>
      <c r="G38" s="417" t="e">
        <f t="shared" si="1"/>
        <v>#DIV/0!</v>
      </c>
    </row>
    <row r="39" spans="1:7" ht="30" customHeight="1">
      <c r="A39" s="16" t="s">
        <v>313</v>
      </c>
      <c r="B39" s="206"/>
      <c r="C39" s="166"/>
      <c r="D39" s="166"/>
      <c r="E39" s="166">
        <v>195</v>
      </c>
      <c r="F39" s="82">
        <f t="shared" si="0"/>
        <v>195</v>
      </c>
      <c r="G39" s="417" t="e">
        <f t="shared" si="1"/>
        <v>#DIV/0!</v>
      </c>
    </row>
    <row r="40" spans="1:7" ht="53.25" customHeight="1">
      <c r="A40" s="16" t="s">
        <v>418</v>
      </c>
      <c r="B40" s="206"/>
      <c r="C40" s="166"/>
      <c r="D40" s="166"/>
      <c r="E40" s="166">
        <v>250.5</v>
      </c>
      <c r="F40" s="82">
        <f t="shared" si="0"/>
        <v>250.5</v>
      </c>
      <c r="G40" s="417" t="e">
        <f t="shared" si="1"/>
        <v>#DIV/0!</v>
      </c>
    </row>
    <row r="41" spans="1:7" ht="30" customHeight="1">
      <c r="A41" s="16" t="s">
        <v>314</v>
      </c>
      <c r="B41" s="206"/>
      <c r="C41" s="166"/>
      <c r="D41" s="166"/>
      <c r="E41" s="166">
        <v>42.1</v>
      </c>
      <c r="F41" s="82">
        <f t="shared" si="0"/>
        <v>42.1</v>
      </c>
      <c r="G41" s="417" t="e">
        <f t="shared" si="1"/>
        <v>#DIV/0!</v>
      </c>
    </row>
    <row r="42" spans="1:7" ht="30" customHeight="1">
      <c r="A42" s="16" t="s">
        <v>315</v>
      </c>
      <c r="B42" s="206"/>
      <c r="C42" s="166"/>
      <c r="D42" s="166"/>
      <c r="E42" s="166">
        <v>32.9</v>
      </c>
      <c r="F42" s="82">
        <f t="shared" si="0"/>
        <v>32.9</v>
      </c>
      <c r="G42" s="417" t="e">
        <f t="shared" si="1"/>
        <v>#DIV/0!</v>
      </c>
    </row>
    <row r="43" spans="1:7" ht="30" customHeight="1">
      <c r="A43" s="16" t="s">
        <v>316</v>
      </c>
      <c r="B43" s="206"/>
      <c r="C43" s="166"/>
      <c r="D43" s="166"/>
      <c r="E43" s="166">
        <v>48.7</v>
      </c>
      <c r="F43" s="82">
        <f t="shared" si="0"/>
        <v>48.7</v>
      </c>
      <c r="G43" s="417" t="e">
        <f t="shared" si="1"/>
        <v>#DIV/0!</v>
      </c>
    </row>
    <row r="44" spans="1:7" ht="63.75" customHeight="1">
      <c r="A44" s="16" t="s">
        <v>317</v>
      </c>
      <c r="B44" s="206"/>
      <c r="C44" s="166"/>
      <c r="D44" s="166"/>
      <c r="E44" s="166">
        <v>1621.6</v>
      </c>
      <c r="F44" s="82">
        <f t="shared" si="0"/>
        <v>1621.6</v>
      </c>
      <c r="G44" s="417" t="e">
        <f t="shared" si="1"/>
        <v>#DIV/0!</v>
      </c>
    </row>
    <row r="45" spans="1:7" ht="84" customHeight="1">
      <c r="A45" s="16" t="s">
        <v>318</v>
      </c>
      <c r="B45" s="206"/>
      <c r="C45" s="166"/>
      <c r="D45" s="166"/>
      <c r="E45" s="166">
        <v>1666</v>
      </c>
      <c r="F45" s="82">
        <f t="shared" si="0"/>
        <v>1666</v>
      </c>
      <c r="G45" s="417" t="e">
        <f t="shared" si="1"/>
        <v>#DIV/0!</v>
      </c>
    </row>
    <row r="46" spans="1:7" ht="51" customHeight="1">
      <c r="A46" s="16" t="s">
        <v>319</v>
      </c>
      <c r="B46" s="206"/>
      <c r="C46" s="166"/>
      <c r="D46" s="166"/>
      <c r="E46" s="166">
        <v>331</v>
      </c>
      <c r="F46" s="82">
        <f t="shared" si="0"/>
        <v>331</v>
      </c>
      <c r="G46" s="417" t="e">
        <f t="shared" si="1"/>
        <v>#DIV/0!</v>
      </c>
    </row>
    <row r="47" spans="1:7" ht="51" customHeight="1">
      <c r="A47" s="16" t="s">
        <v>320</v>
      </c>
      <c r="B47" s="206"/>
      <c r="C47" s="166"/>
      <c r="D47" s="166"/>
      <c r="E47" s="166">
        <v>49.1</v>
      </c>
      <c r="F47" s="82">
        <f t="shared" si="0"/>
        <v>49.1</v>
      </c>
      <c r="G47" s="417" t="e">
        <f t="shared" si="1"/>
        <v>#DIV/0!</v>
      </c>
    </row>
    <row r="48" spans="1:7" ht="30" customHeight="1">
      <c r="A48" s="16" t="s">
        <v>321</v>
      </c>
      <c r="B48" s="206"/>
      <c r="C48" s="166"/>
      <c r="D48" s="166"/>
      <c r="E48" s="166">
        <v>56.4</v>
      </c>
      <c r="F48" s="82">
        <f t="shared" si="0"/>
        <v>56.4</v>
      </c>
      <c r="G48" s="417" t="e">
        <f t="shared" si="1"/>
        <v>#DIV/0!</v>
      </c>
    </row>
    <row r="49" spans="1:7" ht="30" customHeight="1">
      <c r="A49" s="16" t="s">
        <v>322</v>
      </c>
      <c r="B49" s="206"/>
      <c r="C49" s="166"/>
      <c r="D49" s="166"/>
      <c r="E49" s="166">
        <v>75</v>
      </c>
      <c r="F49" s="82">
        <f t="shared" si="0"/>
        <v>75</v>
      </c>
      <c r="G49" s="417" t="e">
        <f t="shared" si="1"/>
        <v>#DIV/0!</v>
      </c>
    </row>
    <row r="50" spans="1:7" ht="30" customHeight="1">
      <c r="A50" s="16" t="s">
        <v>323</v>
      </c>
      <c r="B50" s="206"/>
      <c r="C50" s="166"/>
      <c r="D50" s="166"/>
      <c r="E50" s="166">
        <v>41.2</v>
      </c>
      <c r="F50" s="82">
        <f t="shared" si="0"/>
        <v>41.2</v>
      </c>
      <c r="G50" s="417" t="e">
        <f t="shared" si="1"/>
        <v>#DIV/0!</v>
      </c>
    </row>
    <row r="51" spans="1:7" ht="30" customHeight="1">
      <c r="A51" s="16" t="s">
        <v>542</v>
      </c>
      <c r="B51" s="206"/>
      <c r="C51" s="166"/>
      <c r="D51" s="166"/>
      <c r="E51" s="166">
        <v>1700</v>
      </c>
      <c r="F51" s="82">
        <f t="shared" si="0"/>
        <v>1700</v>
      </c>
      <c r="G51" s="417" t="e">
        <f t="shared" si="1"/>
        <v>#DIV/0!</v>
      </c>
    </row>
    <row r="52" spans="1:7" ht="47.25" customHeight="1">
      <c r="A52" s="16" t="s">
        <v>433</v>
      </c>
      <c r="B52" s="206"/>
      <c r="C52" s="166"/>
      <c r="D52" s="166"/>
      <c r="E52" s="166">
        <v>35.4</v>
      </c>
      <c r="F52" s="82">
        <f t="shared" si="0"/>
        <v>35.4</v>
      </c>
      <c r="G52" s="417" t="e">
        <f t="shared" si="1"/>
        <v>#DIV/0!</v>
      </c>
    </row>
    <row r="53" spans="1:7" ht="30" customHeight="1">
      <c r="A53" s="16" t="s">
        <v>324</v>
      </c>
      <c r="B53" s="206"/>
      <c r="C53" s="166"/>
      <c r="D53" s="166"/>
      <c r="E53" s="166">
        <v>780</v>
      </c>
      <c r="F53" s="82">
        <f t="shared" si="0"/>
        <v>780</v>
      </c>
      <c r="G53" s="417" t="e">
        <f t="shared" si="1"/>
        <v>#DIV/0!</v>
      </c>
    </row>
    <row r="54" spans="1:7" ht="30" customHeight="1">
      <c r="A54" s="16" t="s">
        <v>325</v>
      </c>
      <c r="B54" s="206"/>
      <c r="C54" s="166"/>
      <c r="D54" s="166"/>
      <c r="E54" s="166">
        <v>34.4</v>
      </c>
      <c r="F54" s="82">
        <f t="shared" si="0"/>
        <v>34.4</v>
      </c>
      <c r="G54" s="417" t="e">
        <f t="shared" si="1"/>
        <v>#DIV/0!</v>
      </c>
    </row>
    <row r="55" spans="1:7" ht="47.25" customHeight="1">
      <c r="A55" s="16" t="s">
        <v>326</v>
      </c>
      <c r="B55" s="206"/>
      <c r="C55" s="166"/>
      <c r="D55" s="166"/>
      <c r="E55" s="166">
        <v>44.9</v>
      </c>
      <c r="F55" s="82">
        <f t="shared" si="0"/>
        <v>44.9</v>
      </c>
      <c r="G55" s="417" t="e">
        <f t="shared" si="1"/>
        <v>#DIV/0!</v>
      </c>
    </row>
    <row r="56" spans="1:7" ht="30" customHeight="1">
      <c r="A56" s="16" t="s">
        <v>419</v>
      </c>
      <c r="B56" s="206"/>
      <c r="C56" s="166"/>
      <c r="D56" s="166"/>
      <c r="E56" s="166">
        <v>20.399999999999999</v>
      </c>
      <c r="F56" s="82">
        <f t="shared" si="0"/>
        <v>20.399999999999999</v>
      </c>
      <c r="G56" s="417" t="e">
        <f t="shared" si="1"/>
        <v>#DIV/0!</v>
      </c>
    </row>
    <row r="57" spans="1:7" ht="30" customHeight="1">
      <c r="A57" s="16" t="s">
        <v>420</v>
      </c>
      <c r="B57" s="206"/>
      <c r="C57" s="166"/>
      <c r="D57" s="166"/>
      <c r="E57" s="166">
        <v>23.5</v>
      </c>
      <c r="F57" s="82">
        <f t="shared" si="0"/>
        <v>23.5</v>
      </c>
      <c r="G57" s="417" t="e">
        <f t="shared" si="1"/>
        <v>#DIV/0!</v>
      </c>
    </row>
    <row r="58" spans="1:7" ht="34.5" customHeight="1">
      <c r="A58" s="16" t="s">
        <v>421</v>
      </c>
      <c r="B58" s="206"/>
      <c r="C58" s="166"/>
      <c r="D58" s="166"/>
      <c r="E58" s="166">
        <v>78.8</v>
      </c>
      <c r="F58" s="82">
        <f t="shared" si="0"/>
        <v>78.8</v>
      </c>
      <c r="G58" s="417" t="e">
        <f t="shared" si="1"/>
        <v>#DIV/0!</v>
      </c>
    </row>
    <row r="59" spans="1:7" ht="24" customHeight="1">
      <c r="A59" s="16" t="s">
        <v>422</v>
      </c>
      <c r="B59" s="206"/>
      <c r="C59" s="166"/>
      <c r="D59" s="166"/>
      <c r="E59" s="166">
        <v>33.5</v>
      </c>
      <c r="F59" s="82">
        <f t="shared" si="0"/>
        <v>33.5</v>
      </c>
      <c r="G59" s="417" t="e">
        <f t="shared" si="1"/>
        <v>#DIV/0!</v>
      </c>
    </row>
    <row r="60" spans="1:7" ht="30" customHeight="1">
      <c r="A60" s="16" t="s">
        <v>423</v>
      </c>
      <c r="B60" s="206"/>
      <c r="C60" s="166"/>
      <c r="D60" s="166"/>
      <c r="E60" s="166">
        <v>165.2</v>
      </c>
      <c r="F60" s="82">
        <f t="shared" si="0"/>
        <v>165.2</v>
      </c>
      <c r="G60" s="417" t="e">
        <f t="shared" si="1"/>
        <v>#DIV/0!</v>
      </c>
    </row>
    <row r="61" spans="1:7" ht="42.75" customHeight="1">
      <c r="A61" s="16" t="s">
        <v>426</v>
      </c>
      <c r="B61" s="206"/>
      <c r="C61" s="166"/>
      <c r="D61" s="166"/>
      <c r="E61" s="166">
        <v>93.8</v>
      </c>
      <c r="F61" s="82">
        <f t="shared" si="0"/>
        <v>93.8</v>
      </c>
      <c r="G61" s="417" t="e">
        <f t="shared" si="1"/>
        <v>#DIV/0!</v>
      </c>
    </row>
    <row r="62" spans="1:7" ht="64.5" customHeight="1">
      <c r="A62" s="16" t="s">
        <v>427</v>
      </c>
      <c r="B62" s="206"/>
      <c r="C62" s="166"/>
      <c r="D62" s="166"/>
      <c r="E62" s="166">
        <v>346</v>
      </c>
      <c r="F62" s="82">
        <f t="shared" si="0"/>
        <v>346</v>
      </c>
      <c r="G62" s="417" t="e">
        <f t="shared" si="1"/>
        <v>#DIV/0!</v>
      </c>
    </row>
    <row r="63" spans="1:7" ht="30" customHeight="1">
      <c r="A63" s="16" t="s">
        <v>428</v>
      </c>
      <c r="B63" s="206"/>
      <c r="C63" s="166"/>
      <c r="D63" s="166"/>
      <c r="E63" s="166">
        <v>36.4</v>
      </c>
      <c r="F63" s="82">
        <f t="shared" si="0"/>
        <v>36.4</v>
      </c>
      <c r="G63" s="417" t="e">
        <f t="shared" si="1"/>
        <v>#DIV/0!</v>
      </c>
    </row>
    <row r="64" spans="1:7" ht="30" customHeight="1">
      <c r="A64" s="16" t="s">
        <v>429</v>
      </c>
      <c r="B64" s="206"/>
      <c r="C64" s="166"/>
      <c r="D64" s="166"/>
      <c r="E64" s="166">
        <v>129.6</v>
      </c>
      <c r="F64" s="82">
        <f t="shared" si="0"/>
        <v>129.6</v>
      </c>
      <c r="G64" s="417" t="e">
        <f t="shared" si="1"/>
        <v>#DIV/0!</v>
      </c>
    </row>
    <row r="65" spans="1:9" ht="30" customHeight="1">
      <c r="A65" s="16" t="s">
        <v>430</v>
      </c>
      <c r="B65" s="206"/>
      <c r="C65" s="166"/>
      <c r="D65" s="166"/>
      <c r="E65" s="166">
        <v>47.7</v>
      </c>
      <c r="F65" s="82">
        <f t="shared" si="0"/>
        <v>47.7</v>
      </c>
      <c r="G65" s="417" t="e">
        <f t="shared" si="1"/>
        <v>#DIV/0!</v>
      </c>
    </row>
    <row r="66" spans="1:9" ht="30" customHeight="1">
      <c r="A66" s="16" t="s">
        <v>431</v>
      </c>
      <c r="B66" s="206"/>
      <c r="C66" s="166"/>
      <c r="D66" s="166"/>
      <c r="E66" s="166">
        <v>69.900000000000006</v>
      </c>
      <c r="F66" s="82">
        <f t="shared" si="0"/>
        <v>69.900000000000006</v>
      </c>
      <c r="G66" s="417" t="e">
        <f t="shared" si="1"/>
        <v>#DIV/0!</v>
      </c>
    </row>
    <row r="67" spans="1:9" ht="30" customHeight="1">
      <c r="A67" s="16" t="s">
        <v>432</v>
      </c>
      <c r="B67" s="206"/>
      <c r="C67" s="166"/>
      <c r="D67" s="166"/>
      <c r="E67" s="166">
        <v>54.9</v>
      </c>
      <c r="F67" s="82">
        <f t="shared" si="0"/>
        <v>54.9</v>
      </c>
      <c r="G67" s="417" t="e">
        <f t="shared" si="1"/>
        <v>#DIV/0!</v>
      </c>
    </row>
    <row r="68" spans="1:9" ht="35.25" customHeight="1">
      <c r="A68" s="16" t="s">
        <v>543</v>
      </c>
      <c r="B68" s="206"/>
      <c r="C68" s="166"/>
      <c r="D68" s="166"/>
      <c r="E68" s="166">
        <v>22.6</v>
      </c>
      <c r="F68" s="82">
        <f t="shared" si="0"/>
        <v>22.6</v>
      </c>
      <c r="G68" s="418" t="e">
        <f t="shared" si="1"/>
        <v>#DIV/0!</v>
      </c>
      <c r="H68" s="207"/>
      <c r="I68" s="208"/>
    </row>
    <row r="69" spans="1:9" ht="33" customHeight="1">
      <c r="A69" s="16" t="s">
        <v>544</v>
      </c>
      <c r="B69" s="206"/>
      <c r="C69" s="166"/>
      <c r="D69" s="166"/>
      <c r="E69" s="166">
        <v>37.5</v>
      </c>
      <c r="F69" s="82">
        <f t="shared" si="0"/>
        <v>37.5</v>
      </c>
      <c r="G69" s="418" t="e">
        <f t="shared" si="1"/>
        <v>#DIV/0!</v>
      </c>
      <c r="H69" s="207"/>
      <c r="I69" s="208"/>
    </row>
    <row r="70" spans="1:9" ht="30" customHeight="1">
      <c r="A70" s="16" t="s">
        <v>545</v>
      </c>
      <c r="B70" s="206"/>
      <c r="C70" s="166"/>
      <c r="D70" s="166"/>
      <c r="E70" s="166">
        <v>41.6</v>
      </c>
      <c r="F70" s="82">
        <f t="shared" ref="F70:F135" si="2">E70-D70</f>
        <v>41.6</v>
      </c>
      <c r="G70" s="417" t="e">
        <f t="shared" ref="G70:G135" si="3">(E70/D70)*100</f>
        <v>#DIV/0!</v>
      </c>
    </row>
    <row r="71" spans="1:9" ht="30" customHeight="1">
      <c r="A71" s="16" t="s">
        <v>546</v>
      </c>
      <c r="B71" s="206"/>
      <c r="C71" s="166"/>
      <c r="D71" s="166"/>
      <c r="E71" s="166">
        <v>35</v>
      </c>
      <c r="F71" s="82">
        <f t="shared" si="2"/>
        <v>35</v>
      </c>
      <c r="G71" s="417" t="e">
        <f t="shared" si="3"/>
        <v>#DIV/0!</v>
      </c>
    </row>
    <row r="72" spans="1:9" ht="30" customHeight="1">
      <c r="A72" s="16" t="s">
        <v>547</v>
      </c>
      <c r="B72" s="206"/>
      <c r="C72" s="166"/>
      <c r="D72" s="166"/>
      <c r="E72" s="166">
        <v>28</v>
      </c>
      <c r="F72" s="82">
        <f t="shared" si="2"/>
        <v>28</v>
      </c>
      <c r="G72" s="417" t="e">
        <f t="shared" si="3"/>
        <v>#DIV/0!</v>
      </c>
    </row>
    <row r="73" spans="1:9" ht="40.5" customHeight="1">
      <c r="A73" s="16" t="s">
        <v>548</v>
      </c>
      <c r="B73" s="206"/>
      <c r="C73" s="166"/>
      <c r="D73" s="166"/>
      <c r="E73" s="166">
        <v>89.9</v>
      </c>
      <c r="F73" s="82">
        <f t="shared" si="2"/>
        <v>89.9</v>
      </c>
      <c r="G73" s="417" t="e">
        <f t="shared" si="3"/>
        <v>#DIV/0!</v>
      </c>
    </row>
    <row r="74" spans="1:9" ht="40.5" customHeight="1">
      <c r="A74" s="16" t="s">
        <v>549</v>
      </c>
      <c r="B74" s="206"/>
      <c r="C74" s="166"/>
      <c r="D74" s="166"/>
      <c r="E74" s="166">
        <v>90.1</v>
      </c>
      <c r="F74" s="82">
        <f t="shared" si="2"/>
        <v>90.1</v>
      </c>
      <c r="G74" s="417" t="e">
        <f t="shared" si="3"/>
        <v>#DIV/0!</v>
      </c>
    </row>
    <row r="75" spans="1:9" ht="61.5" customHeight="1">
      <c r="A75" s="16" t="s">
        <v>550</v>
      </c>
      <c r="B75" s="206"/>
      <c r="C75" s="166"/>
      <c r="D75" s="166"/>
      <c r="E75" s="166">
        <v>107.7</v>
      </c>
      <c r="F75" s="82">
        <f t="shared" si="2"/>
        <v>107.7</v>
      </c>
      <c r="G75" s="417" t="e">
        <f t="shared" si="3"/>
        <v>#DIV/0!</v>
      </c>
    </row>
    <row r="76" spans="1:9" ht="27.75" customHeight="1">
      <c r="A76" s="16" t="s">
        <v>551</v>
      </c>
      <c r="B76" s="206"/>
      <c r="C76" s="166"/>
      <c r="D76" s="166"/>
      <c r="E76" s="166">
        <v>180.5</v>
      </c>
      <c r="F76" s="82">
        <f t="shared" si="2"/>
        <v>180.5</v>
      </c>
      <c r="G76" s="417" t="e">
        <f t="shared" si="3"/>
        <v>#DIV/0!</v>
      </c>
    </row>
    <row r="77" spans="1:9" ht="42.75" customHeight="1">
      <c r="A77" s="16" t="s">
        <v>552</v>
      </c>
      <c r="B77" s="206"/>
      <c r="C77" s="166"/>
      <c r="D77" s="166"/>
      <c r="E77" s="166">
        <v>544.5</v>
      </c>
      <c r="F77" s="82">
        <f t="shared" si="2"/>
        <v>544.5</v>
      </c>
      <c r="G77" s="417" t="e">
        <f t="shared" si="3"/>
        <v>#DIV/0!</v>
      </c>
    </row>
    <row r="78" spans="1:9" ht="44.25" customHeight="1">
      <c r="A78" s="16" t="s">
        <v>553</v>
      </c>
      <c r="B78" s="206"/>
      <c r="C78" s="166"/>
      <c r="D78" s="166"/>
      <c r="E78" s="166">
        <v>22.8</v>
      </c>
      <c r="F78" s="82">
        <f t="shared" si="2"/>
        <v>22.8</v>
      </c>
      <c r="G78" s="417" t="e">
        <f t="shared" si="3"/>
        <v>#DIV/0!</v>
      </c>
    </row>
    <row r="79" spans="1:9" ht="30" customHeight="1">
      <c r="A79" s="16" t="s">
        <v>554</v>
      </c>
      <c r="B79" s="206"/>
      <c r="C79" s="166"/>
      <c r="D79" s="166"/>
      <c r="E79" s="166">
        <v>103.3</v>
      </c>
      <c r="F79" s="82">
        <f t="shared" si="2"/>
        <v>103.3</v>
      </c>
      <c r="G79" s="417" t="e">
        <f t="shared" si="3"/>
        <v>#DIV/0!</v>
      </c>
    </row>
    <row r="80" spans="1:9" ht="30" customHeight="1">
      <c r="A80" s="16" t="s">
        <v>555</v>
      </c>
      <c r="B80" s="206"/>
      <c r="C80" s="166"/>
      <c r="D80" s="166"/>
      <c r="E80" s="166">
        <v>68.2</v>
      </c>
      <c r="F80" s="82">
        <f t="shared" si="2"/>
        <v>68.2</v>
      </c>
      <c r="G80" s="417" t="e">
        <f t="shared" si="3"/>
        <v>#DIV/0!</v>
      </c>
    </row>
    <row r="81" spans="1:7" ht="37.5" customHeight="1">
      <c r="A81" s="16" t="s">
        <v>556</v>
      </c>
      <c r="B81" s="206"/>
      <c r="C81" s="166"/>
      <c r="D81" s="166"/>
      <c r="E81" s="166">
        <v>33.9</v>
      </c>
      <c r="F81" s="82">
        <f t="shared" si="2"/>
        <v>33.9</v>
      </c>
      <c r="G81" s="417" t="e">
        <f t="shared" si="3"/>
        <v>#DIV/0!</v>
      </c>
    </row>
    <row r="82" spans="1:7" ht="30" customHeight="1">
      <c r="A82" s="16" t="s">
        <v>557</v>
      </c>
      <c r="B82" s="206"/>
      <c r="C82" s="166"/>
      <c r="D82" s="166"/>
      <c r="E82" s="166">
        <v>159.69999999999999</v>
      </c>
      <c r="F82" s="82">
        <f t="shared" si="2"/>
        <v>159.69999999999999</v>
      </c>
      <c r="G82" s="417" t="e">
        <f t="shared" si="3"/>
        <v>#DIV/0!</v>
      </c>
    </row>
    <row r="83" spans="1:7" ht="40.5" customHeight="1">
      <c r="A83" s="16" t="s">
        <v>558</v>
      </c>
      <c r="B83" s="206"/>
      <c r="C83" s="166"/>
      <c r="D83" s="166"/>
      <c r="E83" s="166">
        <v>20.3</v>
      </c>
      <c r="F83" s="82">
        <f t="shared" si="2"/>
        <v>20.3</v>
      </c>
      <c r="G83" s="417" t="e">
        <f t="shared" si="3"/>
        <v>#DIV/0!</v>
      </c>
    </row>
    <row r="84" spans="1:7" ht="24.75" customHeight="1">
      <c r="A84" s="16" t="s">
        <v>559</v>
      </c>
      <c r="B84" s="206"/>
      <c r="C84" s="166"/>
      <c r="D84" s="166"/>
      <c r="E84" s="166">
        <v>181.3</v>
      </c>
      <c r="F84" s="82">
        <f t="shared" si="2"/>
        <v>181.3</v>
      </c>
      <c r="G84" s="417" t="e">
        <f t="shared" si="3"/>
        <v>#DIV/0!</v>
      </c>
    </row>
    <row r="85" spans="1:7" ht="38.25" customHeight="1">
      <c r="A85" s="16" t="s">
        <v>560</v>
      </c>
      <c r="B85" s="206"/>
      <c r="C85" s="166"/>
      <c r="D85" s="166"/>
      <c r="E85" s="166">
        <v>94.3</v>
      </c>
      <c r="F85" s="82">
        <f t="shared" si="2"/>
        <v>94.3</v>
      </c>
      <c r="G85" s="417" t="e">
        <f t="shared" si="3"/>
        <v>#DIV/0!</v>
      </c>
    </row>
    <row r="86" spans="1:7" ht="23.25" customHeight="1">
      <c r="A86" s="16" t="s">
        <v>561</v>
      </c>
      <c r="B86" s="206"/>
      <c r="C86" s="166"/>
      <c r="D86" s="166"/>
      <c r="E86" s="166">
        <v>138.19999999999999</v>
      </c>
      <c r="F86" s="82">
        <f t="shared" si="2"/>
        <v>138.19999999999999</v>
      </c>
      <c r="G86" s="417" t="e">
        <f t="shared" si="3"/>
        <v>#DIV/0!</v>
      </c>
    </row>
    <row r="87" spans="1:7" ht="23.25" customHeight="1">
      <c r="A87" s="16" t="s">
        <v>562</v>
      </c>
      <c r="B87" s="206"/>
      <c r="C87" s="166"/>
      <c r="D87" s="166"/>
      <c r="E87" s="166">
        <v>120</v>
      </c>
      <c r="F87" s="82">
        <f t="shared" si="2"/>
        <v>120</v>
      </c>
      <c r="G87" s="417" t="e">
        <f t="shared" si="3"/>
        <v>#DIV/0!</v>
      </c>
    </row>
    <row r="88" spans="1:7" ht="24" customHeight="1">
      <c r="A88" s="16" t="s">
        <v>563</v>
      </c>
      <c r="B88" s="206"/>
      <c r="C88" s="166"/>
      <c r="D88" s="166"/>
      <c r="E88" s="166">
        <v>46.7</v>
      </c>
      <c r="F88" s="82">
        <f t="shared" si="2"/>
        <v>46.7</v>
      </c>
      <c r="G88" s="417" t="e">
        <f t="shared" si="3"/>
        <v>#DIV/0!</v>
      </c>
    </row>
    <row r="89" spans="1:7" ht="24.75" customHeight="1">
      <c r="A89" s="16" t="s">
        <v>564</v>
      </c>
      <c r="B89" s="206"/>
      <c r="C89" s="166"/>
      <c r="D89" s="203"/>
      <c r="E89" s="166">
        <v>77.8</v>
      </c>
      <c r="F89" s="82">
        <f t="shared" si="2"/>
        <v>77.8</v>
      </c>
      <c r="G89" s="417" t="e">
        <f t="shared" si="3"/>
        <v>#DIV/0!</v>
      </c>
    </row>
    <row r="90" spans="1:7" ht="56.25" customHeight="1">
      <c r="A90" s="16" t="s">
        <v>565</v>
      </c>
      <c r="B90" s="206"/>
      <c r="C90" s="166"/>
      <c r="D90" s="203"/>
      <c r="E90" s="166">
        <v>407.7</v>
      </c>
      <c r="F90" s="82">
        <f t="shared" si="2"/>
        <v>407.7</v>
      </c>
      <c r="G90" s="417" t="e">
        <f t="shared" si="3"/>
        <v>#DIV/0!</v>
      </c>
    </row>
    <row r="91" spans="1:7" ht="22.5" customHeight="1">
      <c r="A91" s="16" t="s">
        <v>566</v>
      </c>
      <c r="B91" s="206"/>
      <c r="C91" s="166"/>
      <c r="D91" s="203"/>
      <c r="E91" s="166">
        <v>124.8</v>
      </c>
      <c r="F91" s="82">
        <f t="shared" si="2"/>
        <v>124.8</v>
      </c>
      <c r="G91" s="417" t="e">
        <f t="shared" si="3"/>
        <v>#DIV/0!</v>
      </c>
    </row>
    <row r="92" spans="1:7" ht="21.75" customHeight="1">
      <c r="A92" s="16" t="s">
        <v>567</v>
      </c>
      <c r="B92" s="206"/>
      <c r="C92" s="166"/>
      <c r="D92" s="203"/>
      <c r="E92" s="166">
        <v>55.3</v>
      </c>
      <c r="F92" s="82">
        <f t="shared" si="2"/>
        <v>55.3</v>
      </c>
      <c r="G92" s="417" t="e">
        <f t="shared" si="3"/>
        <v>#DIV/0!</v>
      </c>
    </row>
    <row r="93" spans="1:7" ht="21.75" customHeight="1">
      <c r="A93" s="16" t="s">
        <v>568</v>
      </c>
      <c r="B93" s="206"/>
      <c r="C93" s="166"/>
      <c r="D93" s="203"/>
      <c r="E93" s="166">
        <v>4.3</v>
      </c>
      <c r="F93" s="82">
        <f t="shared" si="2"/>
        <v>4.3</v>
      </c>
      <c r="G93" s="417" t="e">
        <f t="shared" si="3"/>
        <v>#DIV/0!</v>
      </c>
    </row>
    <row r="94" spans="1:7" ht="22.5" customHeight="1">
      <c r="A94" s="16" t="s">
        <v>569</v>
      </c>
      <c r="B94" s="206"/>
      <c r="C94" s="166"/>
      <c r="D94" s="203"/>
      <c r="E94" s="166">
        <v>148.30000000000001</v>
      </c>
      <c r="F94" s="82">
        <f t="shared" si="2"/>
        <v>148.30000000000001</v>
      </c>
      <c r="G94" s="417" t="e">
        <f t="shared" si="3"/>
        <v>#DIV/0!</v>
      </c>
    </row>
    <row r="95" spans="1:7" s="473" customFormat="1" ht="27.75" customHeight="1">
      <c r="A95" s="472" t="s">
        <v>701</v>
      </c>
      <c r="B95" s="482"/>
      <c r="C95" s="476"/>
      <c r="D95" s="481"/>
      <c r="E95" s="476">
        <v>1142.5</v>
      </c>
      <c r="F95" s="474">
        <v>1142.5</v>
      </c>
      <c r="G95" s="487" t="e">
        <v>#DIV/0!</v>
      </c>
    </row>
    <row r="96" spans="1:7" s="473" customFormat="1" ht="45" customHeight="1">
      <c r="A96" s="472" t="s">
        <v>702</v>
      </c>
      <c r="B96" s="482"/>
      <c r="C96" s="476"/>
      <c r="D96" s="481"/>
      <c r="E96" s="476">
        <v>49.9</v>
      </c>
      <c r="F96" s="474">
        <v>49.9</v>
      </c>
      <c r="G96" s="487" t="e">
        <v>#DIV/0!</v>
      </c>
    </row>
    <row r="97" spans="1:9" s="209" customFormat="1" ht="41.25" customHeight="1">
      <c r="A97" s="409" t="s">
        <v>7</v>
      </c>
      <c r="B97" s="412">
        <v>4030</v>
      </c>
      <c r="C97" s="410">
        <f>SUM(C98:C296)</f>
        <v>1133.1999999999996</v>
      </c>
      <c r="D97" s="410">
        <f>SUM(D98:D296)</f>
        <v>0</v>
      </c>
      <c r="E97" s="410">
        <f>SUM(E98:E296)</f>
        <v>2945.3999999999996</v>
      </c>
      <c r="F97" s="407">
        <f t="shared" si="2"/>
        <v>2945.3999999999996</v>
      </c>
      <c r="G97" s="419" t="e">
        <f t="shared" si="3"/>
        <v>#DIV/0!</v>
      </c>
      <c r="I97" s="210"/>
    </row>
    <row r="98" spans="1:9" s="209" customFormat="1" ht="30" customHeight="1">
      <c r="A98" s="19" t="s">
        <v>211</v>
      </c>
      <c r="B98" s="206"/>
      <c r="C98" s="166">
        <v>1.6</v>
      </c>
      <c r="D98" s="203"/>
      <c r="E98" s="166"/>
      <c r="F98" s="82">
        <f t="shared" si="2"/>
        <v>0</v>
      </c>
      <c r="G98" s="420" t="e">
        <f t="shared" si="3"/>
        <v>#DIV/0!</v>
      </c>
    </row>
    <row r="99" spans="1:9" s="209" customFormat="1" ht="32.25" customHeight="1">
      <c r="A99" s="19" t="s">
        <v>368</v>
      </c>
      <c r="B99" s="206"/>
      <c r="C99" s="166">
        <v>2.2000000000000002</v>
      </c>
      <c r="D99" s="203"/>
      <c r="E99" s="166"/>
      <c r="F99" s="82">
        <f t="shared" si="2"/>
        <v>0</v>
      </c>
      <c r="G99" s="420" t="e">
        <f t="shared" si="3"/>
        <v>#DIV/0!</v>
      </c>
    </row>
    <row r="100" spans="1:9" s="209" customFormat="1" ht="38.25" customHeight="1">
      <c r="A100" s="16" t="s">
        <v>369</v>
      </c>
      <c r="B100" s="206"/>
      <c r="C100" s="166">
        <v>2</v>
      </c>
      <c r="D100" s="203"/>
      <c r="E100" s="166"/>
      <c r="F100" s="82">
        <f t="shared" si="2"/>
        <v>0</v>
      </c>
      <c r="G100" s="420" t="e">
        <f t="shared" si="3"/>
        <v>#DIV/0!</v>
      </c>
    </row>
    <row r="101" spans="1:9" s="209" customFormat="1" ht="30.75" customHeight="1">
      <c r="A101" s="19" t="s">
        <v>481</v>
      </c>
      <c r="B101" s="206"/>
      <c r="C101" s="166">
        <v>4.0999999999999996</v>
      </c>
      <c r="D101" s="203"/>
      <c r="E101" s="166"/>
      <c r="F101" s="82">
        <f t="shared" si="2"/>
        <v>0</v>
      </c>
      <c r="G101" s="420" t="e">
        <f t="shared" si="3"/>
        <v>#DIV/0!</v>
      </c>
    </row>
    <row r="102" spans="1:9" s="209" customFormat="1" ht="26.25" customHeight="1">
      <c r="A102" s="16" t="s">
        <v>482</v>
      </c>
      <c r="B102" s="206"/>
      <c r="C102" s="166">
        <v>5</v>
      </c>
      <c r="D102" s="203"/>
      <c r="E102" s="166"/>
      <c r="F102" s="82">
        <f t="shared" si="2"/>
        <v>0</v>
      </c>
      <c r="G102" s="420" t="e">
        <f t="shared" si="3"/>
        <v>#DIV/0!</v>
      </c>
    </row>
    <row r="103" spans="1:9" s="209" customFormat="1" ht="28.5" customHeight="1">
      <c r="A103" s="16" t="s">
        <v>370</v>
      </c>
      <c r="B103" s="206"/>
      <c r="C103" s="166">
        <v>11.2</v>
      </c>
      <c r="D103" s="203"/>
      <c r="E103" s="166"/>
      <c r="F103" s="82">
        <f t="shared" si="2"/>
        <v>0</v>
      </c>
      <c r="G103" s="420" t="e">
        <f t="shared" si="3"/>
        <v>#DIV/0!</v>
      </c>
    </row>
    <row r="104" spans="1:9" s="209" customFormat="1" ht="28.5" customHeight="1">
      <c r="A104" s="16" t="s">
        <v>371</v>
      </c>
      <c r="B104" s="206"/>
      <c r="C104" s="166">
        <v>2.5</v>
      </c>
      <c r="D104" s="203"/>
      <c r="E104" s="166"/>
      <c r="F104" s="82">
        <f t="shared" si="2"/>
        <v>0</v>
      </c>
      <c r="G104" s="420" t="e">
        <f t="shared" si="3"/>
        <v>#DIV/0!</v>
      </c>
    </row>
    <row r="105" spans="1:9" s="209" customFormat="1" ht="38.25" customHeight="1">
      <c r="A105" s="16" t="s">
        <v>372</v>
      </c>
      <c r="B105" s="206"/>
      <c r="C105" s="166">
        <v>0.9</v>
      </c>
      <c r="D105" s="203"/>
      <c r="E105" s="166"/>
      <c r="F105" s="82">
        <f t="shared" si="2"/>
        <v>0</v>
      </c>
      <c r="G105" s="420" t="e">
        <f t="shared" si="3"/>
        <v>#DIV/0!</v>
      </c>
    </row>
    <row r="106" spans="1:9" s="209" customFormat="1" ht="32.25" customHeight="1">
      <c r="A106" s="16" t="s">
        <v>373</v>
      </c>
      <c r="B106" s="206"/>
      <c r="C106" s="166">
        <v>1.3</v>
      </c>
      <c r="D106" s="203"/>
      <c r="E106" s="166"/>
      <c r="F106" s="82">
        <f t="shared" si="2"/>
        <v>0</v>
      </c>
      <c r="G106" s="420" t="e">
        <f t="shared" si="3"/>
        <v>#DIV/0!</v>
      </c>
    </row>
    <row r="107" spans="1:9" s="209" customFormat="1" ht="28.5" customHeight="1">
      <c r="A107" s="16" t="s">
        <v>483</v>
      </c>
      <c r="B107" s="206"/>
      <c r="C107" s="166">
        <v>0.5</v>
      </c>
      <c r="D107" s="203"/>
      <c r="E107" s="166"/>
      <c r="F107" s="82">
        <f t="shared" si="2"/>
        <v>0</v>
      </c>
      <c r="G107" s="420" t="e">
        <f t="shared" si="3"/>
        <v>#DIV/0!</v>
      </c>
    </row>
    <row r="108" spans="1:9" s="209" customFormat="1" ht="38.25" customHeight="1">
      <c r="A108" s="16" t="s">
        <v>374</v>
      </c>
      <c r="B108" s="206"/>
      <c r="C108" s="166">
        <v>1.8</v>
      </c>
      <c r="D108" s="203"/>
      <c r="E108" s="166"/>
      <c r="F108" s="82">
        <f t="shared" si="2"/>
        <v>0</v>
      </c>
      <c r="G108" s="420" t="e">
        <f t="shared" si="3"/>
        <v>#DIV/0!</v>
      </c>
    </row>
    <row r="109" spans="1:9" s="209" customFormat="1" ht="32.25" customHeight="1">
      <c r="A109" s="19" t="s">
        <v>484</v>
      </c>
      <c r="B109" s="206"/>
      <c r="C109" s="166">
        <v>24</v>
      </c>
      <c r="D109" s="203"/>
      <c r="E109" s="166"/>
      <c r="F109" s="82">
        <f t="shared" si="2"/>
        <v>0</v>
      </c>
      <c r="G109" s="420" t="e">
        <f t="shared" si="3"/>
        <v>#DIV/0!</v>
      </c>
    </row>
    <row r="110" spans="1:9" s="209" customFormat="1" ht="32.25" customHeight="1">
      <c r="A110" s="19" t="s">
        <v>375</v>
      </c>
      <c r="B110" s="206"/>
      <c r="C110" s="166">
        <v>16.600000000000001</v>
      </c>
      <c r="D110" s="203"/>
      <c r="E110" s="166"/>
      <c r="F110" s="82">
        <f t="shared" si="2"/>
        <v>0</v>
      </c>
      <c r="G110" s="420" t="e">
        <f t="shared" si="3"/>
        <v>#DIV/0!</v>
      </c>
    </row>
    <row r="111" spans="1:9" s="209" customFormat="1" ht="31.5" customHeight="1">
      <c r="A111" s="19" t="s">
        <v>485</v>
      </c>
      <c r="B111" s="206"/>
      <c r="C111" s="166">
        <v>20.100000000000001</v>
      </c>
      <c r="D111" s="203"/>
      <c r="E111" s="166"/>
      <c r="F111" s="82">
        <f t="shared" si="2"/>
        <v>0</v>
      </c>
      <c r="G111" s="420" t="e">
        <f t="shared" si="3"/>
        <v>#DIV/0!</v>
      </c>
    </row>
    <row r="112" spans="1:9" s="209" customFormat="1" ht="28.5" customHeight="1">
      <c r="A112" s="19" t="s">
        <v>376</v>
      </c>
      <c r="B112" s="206"/>
      <c r="C112" s="166">
        <v>29.8</v>
      </c>
      <c r="D112" s="203"/>
      <c r="E112" s="166"/>
      <c r="F112" s="82">
        <f t="shared" si="2"/>
        <v>0</v>
      </c>
      <c r="G112" s="420" t="e">
        <f t="shared" si="3"/>
        <v>#DIV/0!</v>
      </c>
    </row>
    <row r="113" spans="1:7" s="209" customFormat="1" ht="25.5" customHeight="1">
      <c r="A113" s="16" t="s">
        <v>486</v>
      </c>
      <c r="B113" s="206"/>
      <c r="C113" s="166">
        <v>40.200000000000003</v>
      </c>
      <c r="D113" s="203"/>
      <c r="E113" s="166"/>
      <c r="F113" s="82">
        <f t="shared" si="2"/>
        <v>0</v>
      </c>
      <c r="G113" s="420" t="e">
        <f t="shared" si="3"/>
        <v>#DIV/0!</v>
      </c>
    </row>
    <row r="114" spans="1:7" s="209" customFormat="1" ht="28.5" customHeight="1">
      <c r="A114" s="16" t="s">
        <v>377</v>
      </c>
      <c r="B114" s="206"/>
      <c r="C114" s="166">
        <v>10</v>
      </c>
      <c r="D114" s="203"/>
      <c r="E114" s="166"/>
      <c r="F114" s="82">
        <f t="shared" si="2"/>
        <v>0</v>
      </c>
      <c r="G114" s="420" t="e">
        <f t="shared" si="3"/>
        <v>#DIV/0!</v>
      </c>
    </row>
    <row r="115" spans="1:7" s="209" customFormat="1" ht="25.5" customHeight="1">
      <c r="A115" s="19" t="s">
        <v>212</v>
      </c>
      <c r="B115" s="206"/>
      <c r="C115" s="166">
        <v>0.2</v>
      </c>
      <c r="D115" s="203"/>
      <c r="E115" s="166"/>
      <c r="F115" s="82">
        <f t="shared" si="2"/>
        <v>0</v>
      </c>
      <c r="G115" s="420" t="e">
        <f t="shared" si="3"/>
        <v>#DIV/0!</v>
      </c>
    </row>
    <row r="116" spans="1:7" s="209" customFormat="1" ht="29.25" customHeight="1">
      <c r="A116" s="19" t="s">
        <v>378</v>
      </c>
      <c r="B116" s="206"/>
      <c r="C116" s="166">
        <v>31.9</v>
      </c>
      <c r="D116" s="203"/>
      <c r="E116" s="166"/>
      <c r="F116" s="82">
        <f t="shared" si="2"/>
        <v>0</v>
      </c>
      <c r="G116" s="420" t="e">
        <f t="shared" si="3"/>
        <v>#DIV/0!</v>
      </c>
    </row>
    <row r="117" spans="1:7" s="209" customFormat="1" ht="30" customHeight="1">
      <c r="A117" s="19" t="s">
        <v>278</v>
      </c>
      <c r="B117" s="206"/>
      <c r="C117" s="166">
        <v>2.1</v>
      </c>
      <c r="D117" s="203"/>
      <c r="E117" s="166"/>
      <c r="F117" s="82">
        <f t="shared" si="2"/>
        <v>0</v>
      </c>
      <c r="G117" s="420" t="e">
        <f t="shared" si="3"/>
        <v>#DIV/0!</v>
      </c>
    </row>
    <row r="118" spans="1:7" s="209" customFormat="1" ht="41.25" customHeight="1">
      <c r="A118" s="16" t="s">
        <v>379</v>
      </c>
      <c r="B118" s="206"/>
      <c r="C118" s="166">
        <v>31.5</v>
      </c>
      <c r="D118" s="203"/>
      <c r="E118" s="166"/>
      <c r="F118" s="82">
        <f t="shared" si="2"/>
        <v>0</v>
      </c>
      <c r="G118" s="420" t="e">
        <f t="shared" si="3"/>
        <v>#DIV/0!</v>
      </c>
    </row>
    <row r="119" spans="1:7" s="209" customFormat="1" ht="38.25" customHeight="1">
      <c r="A119" s="19" t="s">
        <v>380</v>
      </c>
      <c r="B119" s="206"/>
      <c r="C119" s="166">
        <v>32.4</v>
      </c>
      <c r="D119" s="203"/>
      <c r="E119" s="166"/>
      <c r="F119" s="82">
        <f t="shared" si="2"/>
        <v>0</v>
      </c>
      <c r="G119" s="420" t="e">
        <f t="shared" si="3"/>
        <v>#DIV/0!</v>
      </c>
    </row>
    <row r="120" spans="1:7" s="209" customFormat="1" ht="28.5" customHeight="1">
      <c r="A120" s="19" t="s">
        <v>381</v>
      </c>
      <c r="B120" s="206"/>
      <c r="C120" s="166">
        <v>41</v>
      </c>
      <c r="D120" s="203"/>
      <c r="E120" s="166"/>
      <c r="F120" s="82">
        <f t="shared" si="2"/>
        <v>0</v>
      </c>
      <c r="G120" s="420" t="e">
        <f t="shared" si="3"/>
        <v>#DIV/0!</v>
      </c>
    </row>
    <row r="121" spans="1:7" s="209" customFormat="1" ht="30.75" customHeight="1">
      <c r="A121" s="19" t="s">
        <v>487</v>
      </c>
      <c r="B121" s="206"/>
      <c r="C121" s="166">
        <v>8.1999999999999993</v>
      </c>
      <c r="D121" s="203"/>
      <c r="E121" s="166"/>
      <c r="F121" s="82">
        <f t="shared" si="2"/>
        <v>0</v>
      </c>
      <c r="G121" s="420" t="e">
        <f t="shared" si="3"/>
        <v>#DIV/0!</v>
      </c>
    </row>
    <row r="122" spans="1:7" s="209" customFormat="1" ht="39" customHeight="1">
      <c r="A122" s="16" t="s">
        <v>382</v>
      </c>
      <c r="B122" s="206"/>
      <c r="C122" s="166">
        <v>27.3</v>
      </c>
      <c r="D122" s="203"/>
      <c r="E122" s="166"/>
      <c r="F122" s="82">
        <f t="shared" si="2"/>
        <v>0</v>
      </c>
      <c r="G122" s="420" t="e">
        <f t="shared" si="3"/>
        <v>#DIV/0!</v>
      </c>
    </row>
    <row r="123" spans="1:7" s="209" customFormat="1" ht="26.25" customHeight="1">
      <c r="A123" s="16" t="s">
        <v>488</v>
      </c>
      <c r="B123" s="206"/>
      <c r="C123" s="166">
        <v>44.3</v>
      </c>
      <c r="D123" s="203"/>
      <c r="E123" s="166"/>
      <c r="F123" s="82">
        <f t="shared" si="2"/>
        <v>0</v>
      </c>
      <c r="G123" s="420" t="e">
        <f t="shared" si="3"/>
        <v>#DIV/0!</v>
      </c>
    </row>
    <row r="124" spans="1:7" s="209" customFormat="1" ht="26.25" customHeight="1">
      <c r="A124" s="16" t="s">
        <v>383</v>
      </c>
      <c r="B124" s="206"/>
      <c r="C124" s="166">
        <v>7.7</v>
      </c>
      <c r="D124" s="203"/>
      <c r="E124" s="166"/>
      <c r="F124" s="82">
        <f t="shared" si="2"/>
        <v>0</v>
      </c>
      <c r="G124" s="420" t="e">
        <f t="shared" si="3"/>
        <v>#DIV/0!</v>
      </c>
    </row>
    <row r="125" spans="1:7" s="209" customFormat="1" ht="30" customHeight="1">
      <c r="A125" s="16" t="s">
        <v>489</v>
      </c>
      <c r="B125" s="206"/>
      <c r="C125" s="166">
        <v>5.5</v>
      </c>
      <c r="D125" s="203"/>
      <c r="E125" s="166"/>
      <c r="F125" s="82">
        <f t="shared" si="2"/>
        <v>0</v>
      </c>
      <c r="G125" s="420" t="e">
        <f t="shared" si="3"/>
        <v>#DIV/0!</v>
      </c>
    </row>
    <row r="126" spans="1:7" s="209" customFormat="1" ht="30" customHeight="1">
      <c r="A126" s="19" t="s">
        <v>384</v>
      </c>
      <c r="B126" s="206"/>
      <c r="C126" s="166">
        <v>24.9</v>
      </c>
      <c r="D126" s="203"/>
      <c r="E126" s="166"/>
      <c r="F126" s="82">
        <f t="shared" si="2"/>
        <v>0</v>
      </c>
      <c r="G126" s="420" t="e">
        <f t="shared" si="3"/>
        <v>#DIV/0!</v>
      </c>
    </row>
    <row r="127" spans="1:7" s="209" customFormat="1" ht="33" customHeight="1">
      <c r="A127" s="16" t="s">
        <v>385</v>
      </c>
      <c r="B127" s="206"/>
      <c r="C127" s="166">
        <v>48</v>
      </c>
      <c r="D127" s="203"/>
      <c r="E127" s="166"/>
      <c r="F127" s="82">
        <f t="shared" si="2"/>
        <v>0</v>
      </c>
      <c r="G127" s="420" t="e">
        <f t="shared" si="3"/>
        <v>#DIV/0!</v>
      </c>
    </row>
    <row r="128" spans="1:7" s="209" customFormat="1" ht="27.75" customHeight="1">
      <c r="A128" s="19" t="s">
        <v>386</v>
      </c>
      <c r="B128" s="206"/>
      <c r="C128" s="166">
        <v>13.3</v>
      </c>
      <c r="D128" s="203"/>
      <c r="E128" s="166"/>
      <c r="F128" s="82">
        <f t="shared" si="2"/>
        <v>0</v>
      </c>
      <c r="G128" s="420" t="e">
        <f t="shared" si="3"/>
        <v>#DIV/0!</v>
      </c>
    </row>
    <row r="129" spans="1:7" s="209" customFormat="1" ht="38.25" customHeight="1">
      <c r="A129" s="16" t="s">
        <v>387</v>
      </c>
      <c r="B129" s="206"/>
      <c r="C129" s="166">
        <v>31.5</v>
      </c>
      <c r="D129" s="203"/>
      <c r="E129" s="166"/>
      <c r="F129" s="82">
        <f t="shared" si="2"/>
        <v>0</v>
      </c>
      <c r="G129" s="420" t="e">
        <f t="shared" si="3"/>
        <v>#DIV/0!</v>
      </c>
    </row>
    <row r="130" spans="1:7" s="209" customFormat="1" ht="38.25" customHeight="1">
      <c r="A130" s="16" t="s">
        <v>388</v>
      </c>
      <c r="B130" s="206"/>
      <c r="C130" s="166">
        <v>1.3</v>
      </c>
      <c r="D130" s="203"/>
      <c r="E130" s="166"/>
      <c r="F130" s="82">
        <f t="shared" si="2"/>
        <v>0</v>
      </c>
      <c r="G130" s="420" t="e">
        <f t="shared" si="3"/>
        <v>#DIV/0!</v>
      </c>
    </row>
    <row r="131" spans="1:7" s="209" customFormat="1" ht="31.5" customHeight="1">
      <c r="A131" s="19" t="s">
        <v>389</v>
      </c>
      <c r="B131" s="206"/>
      <c r="C131" s="166">
        <v>1</v>
      </c>
      <c r="D131" s="203"/>
      <c r="E131" s="166"/>
      <c r="F131" s="82">
        <f t="shared" si="2"/>
        <v>0</v>
      </c>
      <c r="G131" s="420" t="e">
        <f t="shared" si="3"/>
        <v>#DIV/0!</v>
      </c>
    </row>
    <row r="132" spans="1:7" s="209" customFormat="1" ht="30.75" customHeight="1">
      <c r="A132" s="19" t="s">
        <v>390</v>
      </c>
      <c r="B132" s="206"/>
      <c r="C132" s="166">
        <v>1.4</v>
      </c>
      <c r="D132" s="203"/>
      <c r="E132" s="166"/>
      <c r="F132" s="82">
        <f t="shared" si="2"/>
        <v>0</v>
      </c>
      <c r="G132" s="420" t="e">
        <f t="shared" si="3"/>
        <v>#DIV/0!</v>
      </c>
    </row>
    <row r="133" spans="1:7" s="209" customFormat="1" ht="30.75" customHeight="1">
      <c r="A133" s="19" t="s">
        <v>391</v>
      </c>
      <c r="B133" s="206"/>
      <c r="C133" s="166">
        <v>6</v>
      </c>
      <c r="D133" s="203"/>
      <c r="E133" s="166"/>
      <c r="F133" s="82">
        <f t="shared" si="2"/>
        <v>0</v>
      </c>
      <c r="G133" s="420" t="e">
        <f t="shared" si="3"/>
        <v>#DIV/0!</v>
      </c>
    </row>
    <row r="134" spans="1:7" s="209" customFormat="1" ht="30.75" customHeight="1">
      <c r="A134" s="16" t="s">
        <v>490</v>
      </c>
      <c r="B134" s="206"/>
      <c r="C134" s="166">
        <v>4</v>
      </c>
      <c r="D134" s="203"/>
      <c r="E134" s="166"/>
      <c r="F134" s="82">
        <f t="shared" si="2"/>
        <v>0</v>
      </c>
      <c r="G134" s="420" t="e">
        <f t="shared" si="3"/>
        <v>#DIV/0!</v>
      </c>
    </row>
    <row r="135" spans="1:7" s="209" customFormat="1" ht="30.75" customHeight="1">
      <c r="A135" s="19" t="s">
        <v>392</v>
      </c>
      <c r="B135" s="206"/>
      <c r="C135" s="166">
        <v>12.5</v>
      </c>
      <c r="D135" s="203"/>
      <c r="E135" s="166"/>
      <c r="F135" s="82">
        <f t="shared" si="2"/>
        <v>0</v>
      </c>
      <c r="G135" s="420" t="e">
        <f t="shared" si="3"/>
        <v>#DIV/0!</v>
      </c>
    </row>
    <row r="136" spans="1:7" s="209" customFormat="1" ht="28.5" customHeight="1">
      <c r="A136" s="16" t="s">
        <v>491</v>
      </c>
      <c r="B136" s="206"/>
      <c r="C136" s="166">
        <v>7</v>
      </c>
      <c r="D136" s="203"/>
      <c r="E136" s="166"/>
      <c r="F136" s="82">
        <f t="shared" ref="F136:F199" si="4">E136-D136</f>
        <v>0</v>
      </c>
      <c r="G136" s="420" t="e">
        <f t="shared" ref="G136:G199" si="5">(E136/D136)*100</f>
        <v>#DIV/0!</v>
      </c>
    </row>
    <row r="137" spans="1:7" s="209" customFormat="1" ht="35.25" customHeight="1">
      <c r="A137" s="19" t="s">
        <v>393</v>
      </c>
      <c r="B137" s="206"/>
      <c r="C137" s="166">
        <v>8.3000000000000007</v>
      </c>
      <c r="D137" s="203"/>
      <c r="E137" s="166"/>
      <c r="F137" s="82">
        <f t="shared" si="4"/>
        <v>0</v>
      </c>
      <c r="G137" s="420" t="e">
        <f t="shared" si="5"/>
        <v>#DIV/0!</v>
      </c>
    </row>
    <row r="138" spans="1:7" s="209" customFormat="1" ht="30.75" customHeight="1">
      <c r="A138" s="16" t="s">
        <v>394</v>
      </c>
      <c r="B138" s="206"/>
      <c r="C138" s="166">
        <v>3.2</v>
      </c>
      <c r="D138" s="203"/>
      <c r="E138" s="166"/>
      <c r="F138" s="82">
        <f t="shared" si="4"/>
        <v>0</v>
      </c>
      <c r="G138" s="420" t="e">
        <f t="shared" si="5"/>
        <v>#DIV/0!</v>
      </c>
    </row>
    <row r="139" spans="1:7" s="209" customFormat="1" ht="31.5" customHeight="1">
      <c r="A139" s="16" t="s">
        <v>395</v>
      </c>
      <c r="B139" s="206"/>
      <c r="C139" s="166">
        <v>0.6</v>
      </c>
      <c r="D139" s="203"/>
      <c r="E139" s="166"/>
      <c r="F139" s="82">
        <f t="shared" si="4"/>
        <v>0</v>
      </c>
      <c r="G139" s="420" t="e">
        <f t="shared" si="5"/>
        <v>#DIV/0!</v>
      </c>
    </row>
    <row r="140" spans="1:7" s="209" customFormat="1" ht="28.5" customHeight="1">
      <c r="A140" s="16" t="s">
        <v>396</v>
      </c>
      <c r="B140" s="206"/>
      <c r="C140" s="166">
        <v>0.5</v>
      </c>
      <c r="D140" s="203"/>
      <c r="E140" s="166"/>
      <c r="F140" s="82">
        <f t="shared" si="4"/>
        <v>0</v>
      </c>
      <c r="G140" s="420" t="e">
        <f t="shared" si="5"/>
        <v>#DIV/0!</v>
      </c>
    </row>
    <row r="141" spans="1:7" s="209" customFormat="1" ht="27.75" customHeight="1">
      <c r="A141" s="16" t="s">
        <v>492</v>
      </c>
      <c r="B141" s="206"/>
      <c r="C141" s="166">
        <v>39.6</v>
      </c>
      <c r="D141" s="203"/>
      <c r="E141" s="166"/>
      <c r="F141" s="82">
        <f t="shared" si="4"/>
        <v>0</v>
      </c>
      <c r="G141" s="420" t="e">
        <f t="shared" si="5"/>
        <v>#DIV/0!</v>
      </c>
    </row>
    <row r="142" spans="1:7" s="209" customFormat="1" ht="31.5" customHeight="1">
      <c r="A142" s="16" t="s">
        <v>493</v>
      </c>
      <c r="B142" s="206"/>
      <c r="C142" s="166">
        <v>7.4</v>
      </c>
      <c r="D142" s="203"/>
      <c r="E142" s="166"/>
      <c r="F142" s="82">
        <f t="shared" si="4"/>
        <v>0</v>
      </c>
      <c r="G142" s="420" t="e">
        <f t="shared" si="5"/>
        <v>#DIV/0!</v>
      </c>
    </row>
    <row r="143" spans="1:7" s="209" customFormat="1" ht="30.75" customHeight="1">
      <c r="A143" s="16" t="s">
        <v>494</v>
      </c>
      <c r="B143" s="206"/>
      <c r="C143" s="166">
        <v>6.3</v>
      </c>
      <c r="D143" s="203"/>
      <c r="E143" s="166"/>
      <c r="F143" s="82">
        <f t="shared" si="4"/>
        <v>0</v>
      </c>
      <c r="G143" s="420" t="e">
        <f t="shared" si="5"/>
        <v>#DIV/0!</v>
      </c>
    </row>
    <row r="144" spans="1:7" s="209" customFormat="1" ht="38.25" customHeight="1">
      <c r="A144" s="16" t="s">
        <v>495</v>
      </c>
      <c r="B144" s="206"/>
      <c r="C144" s="166">
        <v>12</v>
      </c>
      <c r="D144" s="203"/>
      <c r="E144" s="166"/>
      <c r="F144" s="82">
        <f t="shared" si="4"/>
        <v>0</v>
      </c>
      <c r="G144" s="420" t="e">
        <f t="shared" si="5"/>
        <v>#DIV/0!</v>
      </c>
    </row>
    <row r="145" spans="1:7" s="209" customFormat="1" ht="33" customHeight="1">
      <c r="A145" s="16" t="s">
        <v>496</v>
      </c>
      <c r="B145" s="206"/>
      <c r="C145" s="166">
        <v>1.8</v>
      </c>
      <c r="D145" s="203"/>
      <c r="E145" s="166"/>
      <c r="F145" s="82">
        <f t="shared" si="4"/>
        <v>0</v>
      </c>
      <c r="G145" s="420" t="e">
        <f t="shared" si="5"/>
        <v>#DIV/0!</v>
      </c>
    </row>
    <row r="146" spans="1:7" s="209" customFormat="1" ht="25.5" customHeight="1">
      <c r="A146" s="16" t="s">
        <v>497</v>
      </c>
      <c r="B146" s="206"/>
      <c r="C146" s="166">
        <v>10.3</v>
      </c>
      <c r="D146" s="203"/>
      <c r="E146" s="166"/>
      <c r="F146" s="82">
        <f t="shared" si="4"/>
        <v>0</v>
      </c>
      <c r="G146" s="420" t="e">
        <f t="shared" si="5"/>
        <v>#DIV/0!</v>
      </c>
    </row>
    <row r="147" spans="1:7" s="209" customFormat="1" ht="24" customHeight="1">
      <c r="A147" s="16" t="s">
        <v>498</v>
      </c>
      <c r="B147" s="206"/>
      <c r="C147" s="166">
        <v>6.2</v>
      </c>
      <c r="D147" s="203"/>
      <c r="E147" s="166"/>
      <c r="F147" s="82">
        <f t="shared" si="4"/>
        <v>0</v>
      </c>
      <c r="G147" s="420" t="e">
        <f t="shared" si="5"/>
        <v>#DIV/0!</v>
      </c>
    </row>
    <row r="148" spans="1:7" s="209" customFormat="1" ht="38.25" customHeight="1">
      <c r="A148" s="16" t="s">
        <v>499</v>
      </c>
      <c r="B148" s="206"/>
      <c r="C148" s="166">
        <v>14.7</v>
      </c>
      <c r="D148" s="203"/>
      <c r="E148" s="166"/>
      <c r="F148" s="82">
        <f t="shared" si="4"/>
        <v>0</v>
      </c>
      <c r="G148" s="420" t="e">
        <f t="shared" si="5"/>
        <v>#DIV/0!</v>
      </c>
    </row>
    <row r="149" spans="1:7" s="209" customFormat="1" ht="38.25" customHeight="1">
      <c r="A149" s="16" t="s">
        <v>500</v>
      </c>
      <c r="B149" s="206"/>
      <c r="C149" s="166">
        <v>17.600000000000001</v>
      </c>
      <c r="D149" s="203"/>
      <c r="E149" s="166"/>
      <c r="F149" s="82">
        <f t="shared" si="4"/>
        <v>0</v>
      </c>
      <c r="G149" s="420" t="e">
        <f t="shared" si="5"/>
        <v>#DIV/0!</v>
      </c>
    </row>
    <row r="150" spans="1:7" s="209" customFormat="1" ht="25.5" customHeight="1">
      <c r="A150" s="16" t="s">
        <v>501</v>
      </c>
      <c r="B150" s="206"/>
      <c r="C150" s="166">
        <v>26.4</v>
      </c>
      <c r="D150" s="203"/>
      <c r="E150" s="166"/>
      <c r="F150" s="82">
        <f t="shared" si="4"/>
        <v>0</v>
      </c>
      <c r="G150" s="420" t="e">
        <f t="shared" si="5"/>
        <v>#DIV/0!</v>
      </c>
    </row>
    <row r="151" spans="1:7" s="209" customFormat="1" ht="24.75" customHeight="1">
      <c r="A151" s="16" t="s">
        <v>502</v>
      </c>
      <c r="B151" s="206"/>
      <c r="C151" s="166">
        <v>9.6999999999999993</v>
      </c>
      <c r="D151" s="203"/>
      <c r="E151" s="166"/>
      <c r="F151" s="82">
        <f t="shared" si="4"/>
        <v>0</v>
      </c>
      <c r="G151" s="420" t="e">
        <f t="shared" si="5"/>
        <v>#DIV/0!</v>
      </c>
    </row>
    <row r="152" spans="1:7" s="209" customFormat="1" ht="24.75" customHeight="1">
      <c r="A152" s="16" t="s">
        <v>503</v>
      </c>
      <c r="B152" s="206"/>
      <c r="C152" s="166">
        <v>6.2</v>
      </c>
      <c r="D152" s="203"/>
      <c r="E152" s="166"/>
      <c r="F152" s="82">
        <f t="shared" si="4"/>
        <v>0</v>
      </c>
      <c r="G152" s="420" t="e">
        <f t="shared" si="5"/>
        <v>#DIV/0!</v>
      </c>
    </row>
    <row r="153" spans="1:7" s="209" customFormat="1" ht="38.25" customHeight="1">
      <c r="A153" s="16" t="s">
        <v>504</v>
      </c>
      <c r="B153" s="206"/>
      <c r="C153" s="166">
        <v>45.8</v>
      </c>
      <c r="D153" s="203"/>
      <c r="E153" s="166"/>
      <c r="F153" s="82">
        <f t="shared" si="4"/>
        <v>0</v>
      </c>
      <c r="G153" s="420" t="e">
        <f t="shared" si="5"/>
        <v>#DIV/0!</v>
      </c>
    </row>
    <row r="154" spans="1:7" s="209" customFormat="1" ht="38.25" customHeight="1">
      <c r="A154" s="16" t="s">
        <v>505</v>
      </c>
      <c r="B154" s="206"/>
      <c r="C154" s="166">
        <v>31.8</v>
      </c>
      <c r="D154" s="203"/>
      <c r="E154" s="166"/>
      <c r="F154" s="82">
        <f t="shared" si="4"/>
        <v>0</v>
      </c>
      <c r="G154" s="420" t="e">
        <f t="shared" si="5"/>
        <v>#DIV/0!</v>
      </c>
    </row>
    <row r="155" spans="1:7" s="209" customFormat="1" ht="45.75" customHeight="1">
      <c r="A155" s="16" t="s">
        <v>506</v>
      </c>
      <c r="B155" s="206"/>
      <c r="C155" s="166">
        <v>14.8</v>
      </c>
      <c r="D155" s="203"/>
      <c r="E155" s="166"/>
      <c r="F155" s="82">
        <f t="shared" si="4"/>
        <v>0</v>
      </c>
      <c r="G155" s="420" t="e">
        <f t="shared" si="5"/>
        <v>#DIV/0!</v>
      </c>
    </row>
    <row r="156" spans="1:7" s="209" customFormat="1" ht="92.25" customHeight="1">
      <c r="A156" s="16" t="s">
        <v>507</v>
      </c>
      <c r="B156" s="206"/>
      <c r="C156" s="166">
        <v>18.3</v>
      </c>
      <c r="D156" s="203"/>
      <c r="E156" s="166"/>
      <c r="F156" s="82">
        <f t="shared" si="4"/>
        <v>0</v>
      </c>
      <c r="G156" s="420" t="e">
        <f t="shared" si="5"/>
        <v>#DIV/0!</v>
      </c>
    </row>
    <row r="157" spans="1:7" s="209" customFormat="1" ht="33" customHeight="1">
      <c r="A157" s="16" t="s">
        <v>508</v>
      </c>
      <c r="B157" s="206"/>
      <c r="C157" s="166">
        <v>23.4</v>
      </c>
      <c r="D157" s="203"/>
      <c r="E157" s="166"/>
      <c r="F157" s="82">
        <f t="shared" si="4"/>
        <v>0</v>
      </c>
      <c r="G157" s="420" t="e">
        <f t="shared" si="5"/>
        <v>#DIV/0!</v>
      </c>
    </row>
    <row r="158" spans="1:7" s="209" customFormat="1" ht="28.5" customHeight="1">
      <c r="A158" s="16" t="s">
        <v>509</v>
      </c>
      <c r="B158" s="206"/>
      <c r="C158" s="166">
        <v>17</v>
      </c>
      <c r="D158" s="203"/>
      <c r="E158" s="166"/>
      <c r="F158" s="82">
        <f t="shared" si="4"/>
        <v>0</v>
      </c>
      <c r="G158" s="420" t="e">
        <f t="shared" si="5"/>
        <v>#DIV/0!</v>
      </c>
    </row>
    <row r="159" spans="1:7" s="209" customFormat="1" ht="38.25" customHeight="1">
      <c r="A159" s="16" t="s">
        <v>510</v>
      </c>
      <c r="B159" s="206"/>
      <c r="C159" s="166">
        <v>36</v>
      </c>
      <c r="D159" s="203"/>
      <c r="E159" s="166"/>
      <c r="F159" s="82">
        <f t="shared" si="4"/>
        <v>0</v>
      </c>
      <c r="G159" s="420" t="e">
        <f t="shared" si="5"/>
        <v>#DIV/0!</v>
      </c>
    </row>
    <row r="160" spans="1:7" s="209" customFormat="1" ht="28.5" customHeight="1">
      <c r="A160" s="16" t="s">
        <v>511</v>
      </c>
      <c r="B160" s="206"/>
      <c r="C160" s="166">
        <v>16</v>
      </c>
      <c r="D160" s="203"/>
      <c r="E160" s="166"/>
      <c r="F160" s="82">
        <f t="shared" si="4"/>
        <v>0</v>
      </c>
      <c r="G160" s="420" t="e">
        <f t="shared" si="5"/>
        <v>#DIV/0!</v>
      </c>
    </row>
    <row r="161" spans="1:7" s="209" customFormat="1" ht="31.5" customHeight="1">
      <c r="A161" s="16" t="s">
        <v>512</v>
      </c>
      <c r="B161" s="206"/>
      <c r="C161" s="166">
        <v>3</v>
      </c>
      <c r="D161" s="203"/>
      <c r="E161" s="166"/>
      <c r="F161" s="82">
        <f t="shared" si="4"/>
        <v>0</v>
      </c>
      <c r="G161" s="420" t="e">
        <f t="shared" si="5"/>
        <v>#DIV/0!</v>
      </c>
    </row>
    <row r="162" spans="1:7" s="209" customFormat="1" ht="31.5" customHeight="1">
      <c r="A162" s="16" t="s">
        <v>513</v>
      </c>
      <c r="B162" s="206"/>
      <c r="C162" s="166">
        <v>1.6</v>
      </c>
      <c r="D162" s="203"/>
      <c r="E162" s="166"/>
      <c r="F162" s="82">
        <f t="shared" si="4"/>
        <v>0</v>
      </c>
      <c r="G162" s="420" t="e">
        <f t="shared" si="5"/>
        <v>#DIV/0!</v>
      </c>
    </row>
    <row r="163" spans="1:7" s="209" customFormat="1" ht="31.5" customHeight="1">
      <c r="A163" s="16" t="s">
        <v>514</v>
      </c>
      <c r="B163" s="206"/>
      <c r="C163" s="166">
        <v>1.5</v>
      </c>
      <c r="D163" s="203"/>
      <c r="E163" s="166"/>
      <c r="F163" s="82">
        <f t="shared" si="4"/>
        <v>0</v>
      </c>
      <c r="G163" s="420" t="e">
        <f t="shared" si="5"/>
        <v>#DIV/0!</v>
      </c>
    </row>
    <row r="164" spans="1:7" s="209" customFormat="1" ht="30" customHeight="1">
      <c r="A164" s="16" t="s">
        <v>515</v>
      </c>
      <c r="B164" s="206"/>
      <c r="C164" s="166">
        <v>2.8</v>
      </c>
      <c r="D164" s="203"/>
      <c r="E164" s="166"/>
      <c r="F164" s="82">
        <f t="shared" si="4"/>
        <v>0</v>
      </c>
      <c r="G164" s="420" t="e">
        <f t="shared" si="5"/>
        <v>#DIV/0!</v>
      </c>
    </row>
    <row r="165" spans="1:7" s="209" customFormat="1" ht="27" customHeight="1">
      <c r="A165" s="16" t="s">
        <v>516</v>
      </c>
      <c r="B165" s="206"/>
      <c r="C165" s="166">
        <v>8.4</v>
      </c>
      <c r="D165" s="203"/>
      <c r="E165" s="166"/>
      <c r="F165" s="82">
        <f t="shared" si="4"/>
        <v>0</v>
      </c>
      <c r="G165" s="420" t="e">
        <f t="shared" si="5"/>
        <v>#DIV/0!</v>
      </c>
    </row>
    <row r="166" spans="1:7" s="209" customFormat="1" ht="27.75" customHeight="1">
      <c r="A166" s="16" t="s">
        <v>517</v>
      </c>
      <c r="B166" s="206"/>
      <c r="C166" s="166">
        <v>1.6</v>
      </c>
      <c r="D166" s="203"/>
      <c r="E166" s="166"/>
      <c r="F166" s="82">
        <f t="shared" si="4"/>
        <v>0</v>
      </c>
      <c r="G166" s="420" t="e">
        <f t="shared" si="5"/>
        <v>#DIV/0!</v>
      </c>
    </row>
    <row r="167" spans="1:7" s="209" customFormat="1" ht="60.75" customHeight="1">
      <c r="A167" s="16" t="s">
        <v>518</v>
      </c>
      <c r="B167" s="206"/>
      <c r="C167" s="166">
        <v>160.80000000000001</v>
      </c>
      <c r="D167" s="203"/>
      <c r="E167" s="166"/>
      <c r="F167" s="82">
        <f t="shared" si="4"/>
        <v>0</v>
      </c>
      <c r="G167" s="420" t="e">
        <f t="shared" si="5"/>
        <v>#DIV/0!</v>
      </c>
    </row>
    <row r="168" spans="1:7" s="209" customFormat="1" ht="29.25" customHeight="1">
      <c r="A168" s="16" t="s">
        <v>519</v>
      </c>
      <c r="B168" s="206"/>
      <c r="C168" s="166">
        <v>22.8</v>
      </c>
      <c r="D168" s="203"/>
      <c r="E168" s="166"/>
      <c r="F168" s="82">
        <f t="shared" si="4"/>
        <v>0</v>
      </c>
      <c r="G168" s="420" t="e">
        <f t="shared" si="5"/>
        <v>#DIV/0!</v>
      </c>
    </row>
    <row r="169" spans="1:7" s="209" customFormat="1" ht="21" customHeight="1">
      <c r="A169" s="19" t="s">
        <v>279</v>
      </c>
      <c r="B169" s="206"/>
      <c r="C169" s="166"/>
      <c r="D169" s="203"/>
      <c r="E169" s="166">
        <v>14.1</v>
      </c>
      <c r="F169" s="82">
        <f t="shared" si="4"/>
        <v>14.1</v>
      </c>
      <c r="G169" s="420" t="e">
        <f t="shared" si="5"/>
        <v>#DIV/0!</v>
      </c>
    </row>
    <row r="170" spans="1:7" s="209" customFormat="1" ht="24" customHeight="1">
      <c r="A170" s="19" t="s">
        <v>280</v>
      </c>
      <c r="B170" s="206"/>
      <c r="C170" s="166"/>
      <c r="D170" s="203"/>
      <c r="E170" s="166">
        <v>8.1999999999999993</v>
      </c>
      <c r="F170" s="82">
        <f t="shared" si="4"/>
        <v>8.1999999999999993</v>
      </c>
      <c r="G170" s="420" t="e">
        <f t="shared" si="5"/>
        <v>#DIV/0!</v>
      </c>
    </row>
    <row r="171" spans="1:7" s="209" customFormat="1" ht="20.25" customHeight="1">
      <c r="A171" s="19" t="s">
        <v>398</v>
      </c>
      <c r="B171" s="206"/>
      <c r="C171" s="166"/>
      <c r="D171" s="203"/>
      <c r="E171" s="166">
        <v>0.3</v>
      </c>
      <c r="F171" s="82">
        <f t="shared" si="4"/>
        <v>0.3</v>
      </c>
      <c r="G171" s="420" t="e">
        <f t="shared" si="5"/>
        <v>#DIV/0!</v>
      </c>
    </row>
    <row r="172" spans="1:7" s="209" customFormat="1" ht="23.25" customHeight="1">
      <c r="A172" s="16" t="s">
        <v>281</v>
      </c>
      <c r="B172" s="206"/>
      <c r="C172" s="166"/>
      <c r="D172" s="203"/>
      <c r="E172" s="166">
        <v>0.1</v>
      </c>
      <c r="F172" s="82">
        <f t="shared" si="4"/>
        <v>0.1</v>
      </c>
      <c r="G172" s="420" t="e">
        <f t="shared" si="5"/>
        <v>#DIV/0!</v>
      </c>
    </row>
    <row r="173" spans="1:7" s="209" customFormat="1" ht="23.25" customHeight="1">
      <c r="A173" s="19" t="s">
        <v>434</v>
      </c>
      <c r="B173" s="206"/>
      <c r="C173" s="166"/>
      <c r="D173" s="203"/>
      <c r="E173" s="166">
        <v>1.6</v>
      </c>
      <c r="F173" s="82">
        <f t="shared" si="4"/>
        <v>1.6</v>
      </c>
      <c r="G173" s="420" t="e">
        <f t="shared" si="5"/>
        <v>#DIV/0!</v>
      </c>
    </row>
    <row r="174" spans="1:7" s="209" customFormat="1" ht="23.25" customHeight="1">
      <c r="A174" s="19" t="s">
        <v>435</v>
      </c>
      <c r="B174" s="206"/>
      <c r="C174" s="166"/>
      <c r="D174" s="203"/>
      <c r="E174" s="166">
        <v>4.2</v>
      </c>
      <c r="F174" s="82">
        <f t="shared" si="4"/>
        <v>4.2</v>
      </c>
      <c r="G174" s="420" t="e">
        <f t="shared" si="5"/>
        <v>#DIV/0!</v>
      </c>
    </row>
    <row r="175" spans="1:7" s="209" customFormat="1" ht="27.75" customHeight="1">
      <c r="A175" s="19" t="s">
        <v>436</v>
      </c>
      <c r="B175" s="206"/>
      <c r="C175" s="166"/>
      <c r="D175" s="203"/>
      <c r="E175" s="166">
        <v>1.2</v>
      </c>
      <c r="F175" s="82">
        <f t="shared" si="4"/>
        <v>1.2</v>
      </c>
      <c r="G175" s="420" t="e">
        <f t="shared" si="5"/>
        <v>#DIV/0!</v>
      </c>
    </row>
    <row r="176" spans="1:7" s="209" customFormat="1" ht="24.75" customHeight="1">
      <c r="A176" s="16" t="s">
        <v>284</v>
      </c>
      <c r="B176" s="206"/>
      <c r="C176" s="166"/>
      <c r="D176" s="203"/>
      <c r="E176" s="166">
        <v>0.2</v>
      </c>
      <c r="F176" s="82">
        <f t="shared" si="4"/>
        <v>0.2</v>
      </c>
      <c r="G176" s="420" t="e">
        <f t="shared" si="5"/>
        <v>#DIV/0!</v>
      </c>
    </row>
    <row r="177" spans="1:7" s="209" customFormat="1" ht="23.25" customHeight="1">
      <c r="A177" s="19" t="s">
        <v>285</v>
      </c>
      <c r="B177" s="206"/>
      <c r="C177" s="166"/>
      <c r="D177" s="203"/>
      <c r="E177" s="166">
        <v>0.5</v>
      </c>
      <c r="F177" s="82">
        <f t="shared" si="4"/>
        <v>0.5</v>
      </c>
      <c r="G177" s="420" t="e">
        <f t="shared" si="5"/>
        <v>#DIV/0!</v>
      </c>
    </row>
    <row r="178" spans="1:7" s="209" customFormat="1" ht="38.25" customHeight="1">
      <c r="A178" s="16" t="s">
        <v>286</v>
      </c>
      <c r="B178" s="206"/>
      <c r="C178" s="166"/>
      <c r="D178" s="203"/>
      <c r="E178" s="166">
        <v>0.7</v>
      </c>
      <c r="F178" s="82">
        <f t="shared" si="4"/>
        <v>0.7</v>
      </c>
      <c r="G178" s="420" t="e">
        <f t="shared" si="5"/>
        <v>#DIV/0!</v>
      </c>
    </row>
    <row r="179" spans="1:7" s="209" customFormat="1" ht="24" customHeight="1">
      <c r="A179" s="19" t="s">
        <v>287</v>
      </c>
      <c r="B179" s="206"/>
      <c r="C179" s="166"/>
      <c r="D179" s="203"/>
      <c r="E179" s="166">
        <v>1.9</v>
      </c>
      <c r="F179" s="82">
        <f t="shared" si="4"/>
        <v>1.9</v>
      </c>
      <c r="G179" s="420" t="e">
        <f t="shared" si="5"/>
        <v>#DIV/0!</v>
      </c>
    </row>
    <row r="180" spans="1:7" s="209" customFormat="1" ht="21" customHeight="1">
      <c r="A180" s="19" t="s">
        <v>288</v>
      </c>
      <c r="B180" s="206"/>
      <c r="C180" s="166"/>
      <c r="D180" s="203"/>
      <c r="E180" s="166">
        <v>2.1</v>
      </c>
      <c r="F180" s="82">
        <f t="shared" si="4"/>
        <v>2.1</v>
      </c>
      <c r="G180" s="420" t="e">
        <f t="shared" si="5"/>
        <v>#DIV/0!</v>
      </c>
    </row>
    <row r="181" spans="1:7" s="209" customFormat="1" ht="25.5" customHeight="1">
      <c r="A181" s="19" t="s">
        <v>289</v>
      </c>
      <c r="B181" s="206"/>
      <c r="C181" s="166"/>
      <c r="D181" s="203"/>
      <c r="E181" s="166">
        <v>1.7</v>
      </c>
      <c r="F181" s="82">
        <f t="shared" si="4"/>
        <v>1.7</v>
      </c>
      <c r="G181" s="420" t="e">
        <f t="shared" si="5"/>
        <v>#DIV/0!</v>
      </c>
    </row>
    <row r="182" spans="1:7" s="209" customFormat="1" ht="23.25" customHeight="1">
      <c r="A182" s="19" t="s">
        <v>290</v>
      </c>
      <c r="B182" s="206"/>
      <c r="C182" s="166"/>
      <c r="D182" s="203"/>
      <c r="E182" s="166">
        <v>1</v>
      </c>
      <c r="F182" s="82">
        <f t="shared" si="4"/>
        <v>1</v>
      </c>
      <c r="G182" s="420" t="e">
        <f t="shared" si="5"/>
        <v>#DIV/0!</v>
      </c>
    </row>
    <row r="183" spans="1:7" s="209" customFormat="1" ht="20.25" customHeight="1">
      <c r="A183" s="19" t="s">
        <v>437</v>
      </c>
      <c r="B183" s="206"/>
      <c r="C183" s="166"/>
      <c r="D183" s="203"/>
      <c r="E183" s="166">
        <v>1.3</v>
      </c>
      <c r="F183" s="82">
        <f t="shared" si="4"/>
        <v>1.3</v>
      </c>
      <c r="G183" s="420" t="e">
        <f t="shared" si="5"/>
        <v>#DIV/0!</v>
      </c>
    </row>
    <row r="184" spans="1:7" s="209" customFormat="1" ht="21" customHeight="1">
      <c r="A184" s="19" t="s">
        <v>292</v>
      </c>
      <c r="B184" s="206"/>
      <c r="C184" s="166"/>
      <c r="D184" s="203"/>
      <c r="E184" s="166">
        <v>0.4</v>
      </c>
      <c r="F184" s="82">
        <f t="shared" si="4"/>
        <v>0.4</v>
      </c>
      <c r="G184" s="420" t="e">
        <f t="shared" si="5"/>
        <v>#DIV/0!</v>
      </c>
    </row>
    <row r="185" spans="1:7" s="209" customFormat="1" ht="21.75" customHeight="1">
      <c r="A185" s="19" t="s">
        <v>293</v>
      </c>
      <c r="B185" s="206"/>
      <c r="C185" s="166"/>
      <c r="D185" s="203"/>
      <c r="E185" s="166">
        <v>2.2000000000000002</v>
      </c>
      <c r="F185" s="82">
        <f t="shared" si="4"/>
        <v>2.2000000000000002</v>
      </c>
      <c r="G185" s="420" t="e">
        <f t="shared" si="5"/>
        <v>#DIV/0!</v>
      </c>
    </row>
    <row r="186" spans="1:7" s="209" customFormat="1" ht="25.5" customHeight="1">
      <c r="A186" s="19" t="s">
        <v>294</v>
      </c>
      <c r="B186" s="206"/>
      <c r="C186" s="166"/>
      <c r="D186" s="203"/>
      <c r="E186" s="166">
        <v>1.1000000000000001</v>
      </c>
      <c r="F186" s="82">
        <f t="shared" si="4"/>
        <v>1.1000000000000001</v>
      </c>
      <c r="G186" s="420" t="e">
        <f t="shared" si="5"/>
        <v>#DIV/0!</v>
      </c>
    </row>
    <row r="187" spans="1:7" s="209" customFormat="1" ht="38.25" customHeight="1">
      <c r="A187" s="16" t="s">
        <v>295</v>
      </c>
      <c r="B187" s="206"/>
      <c r="C187" s="166"/>
      <c r="D187" s="203"/>
      <c r="E187" s="166">
        <v>1.7</v>
      </c>
      <c r="F187" s="82">
        <f t="shared" si="4"/>
        <v>1.7</v>
      </c>
      <c r="G187" s="420" t="e">
        <f t="shared" si="5"/>
        <v>#DIV/0!</v>
      </c>
    </row>
    <row r="188" spans="1:7" s="209" customFormat="1" ht="30" customHeight="1">
      <c r="A188" s="19" t="s">
        <v>296</v>
      </c>
      <c r="B188" s="206"/>
      <c r="C188" s="166"/>
      <c r="D188" s="203"/>
      <c r="E188" s="166">
        <v>2.1</v>
      </c>
      <c r="F188" s="82">
        <f t="shared" si="4"/>
        <v>2.1</v>
      </c>
      <c r="G188" s="420" t="e">
        <f t="shared" si="5"/>
        <v>#DIV/0!</v>
      </c>
    </row>
    <row r="189" spans="1:7" s="209" customFormat="1" ht="28.5" customHeight="1">
      <c r="A189" s="19" t="s">
        <v>297</v>
      </c>
      <c r="B189" s="206"/>
      <c r="C189" s="166"/>
      <c r="D189" s="203"/>
      <c r="E189" s="166">
        <v>2.9</v>
      </c>
      <c r="F189" s="82">
        <f t="shared" si="4"/>
        <v>2.9</v>
      </c>
      <c r="G189" s="420" t="e">
        <f t="shared" si="5"/>
        <v>#DIV/0!</v>
      </c>
    </row>
    <row r="190" spans="1:7" s="209" customFormat="1" ht="29.25" customHeight="1">
      <c r="A190" s="19" t="s">
        <v>298</v>
      </c>
      <c r="B190" s="206"/>
      <c r="C190" s="166"/>
      <c r="D190" s="203"/>
      <c r="E190" s="166">
        <v>0.7</v>
      </c>
      <c r="F190" s="82">
        <f t="shared" si="4"/>
        <v>0.7</v>
      </c>
      <c r="G190" s="420" t="e">
        <f t="shared" si="5"/>
        <v>#DIV/0!</v>
      </c>
    </row>
    <row r="191" spans="1:7" s="209" customFormat="1" ht="26.25" customHeight="1">
      <c r="A191" s="19" t="s">
        <v>438</v>
      </c>
      <c r="B191" s="206"/>
      <c r="C191" s="166"/>
      <c r="D191" s="203"/>
      <c r="E191" s="166">
        <v>1.2</v>
      </c>
      <c r="F191" s="82">
        <f t="shared" si="4"/>
        <v>1.2</v>
      </c>
      <c r="G191" s="420" t="e">
        <f t="shared" si="5"/>
        <v>#DIV/0!</v>
      </c>
    </row>
    <row r="192" spans="1:7" s="209" customFormat="1" ht="24" customHeight="1">
      <c r="A192" s="19" t="s">
        <v>299</v>
      </c>
      <c r="B192" s="206"/>
      <c r="C192" s="166"/>
      <c r="D192" s="203"/>
      <c r="E192" s="166">
        <v>0.2</v>
      </c>
      <c r="F192" s="82">
        <f t="shared" si="4"/>
        <v>0.2</v>
      </c>
      <c r="G192" s="420" t="e">
        <f t="shared" si="5"/>
        <v>#DIV/0!</v>
      </c>
    </row>
    <row r="193" spans="1:7" s="209" customFormat="1" ht="24.75" customHeight="1">
      <c r="A193" s="19" t="s">
        <v>300</v>
      </c>
      <c r="B193" s="206"/>
      <c r="C193" s="166"/>
      <c r="D193" s="203"/>
      <c r="E193" s="166">
        <v>4.5</v>
      </c>
      <c r="F193" s="82">
        <f t="shared" si="4"/>
        <v>4.5</v>
      </c>
      <c r="G193" s="420" t="e">
        <f t="shared" si="5"/>
        <v>#DIV/0!</v>
      </c>
    </row>
    <row r="194" spans="1:7" s="209" customFormat="1" ht="23.25" customHeight="1">
      <c r="A194" s="19" t="s">
        <v>301</v>
      </c>
      <c r="B194" s="206"/>
      <c r="C194" s="166"/>
      <c r="D194" s="203"/>
      <c r="E194" s="166">
        <v>1.2</v>
      </c>
      <c r="F194" s="82">
        <f t="shared" si="4"/>
        <v>1.2</v>
      </c>
      <c r="G194" s="420" t="e">
        <f t="shared" si="5"/>
        <v>#DIV/0!</v>
      </c>
    </row>
    <row r="195" spans="1:7" s="209" customFormat="1" ht="24" customHeight="1">
      <c r="A195" s="19" t="s">
        <v>302</v>
      </c>
      <c r="B195" s="206"/>
      <c r="C195" s="166"/>
      <c r="D195" s="203"/>
      <c r="E195" s="166">
        <v>0.7</v>
      </c>
      <c r="F195" s="82">
        <f t="shared" si="4"/>
        <v>0.7</v>
      </c>
      <c r="G195" s="420" t="e">
        <f t="shared" si="5"/>
        <v>#DIV/0!</v>
      </c>
    </row>
    <row r="196" spans="1:7" s="209" customFormat="1" ht="21" customHeight="1">
      <c r="A196" s="19" t="s">
        <v>303</v>
      </c>
      <c r="B196" s="206"/>
      <c r="C196" s="166"/>
      <c r="D196" s="203"/>
      <c r="E196" s="166">
        <v>1</v>
      </c>
      <c r="F196" s="82">
        <f t="shared" si="4"/>
        <v>1</v>
      </c>
      <c r="G196" s="420" t="e">
        <f t="shared" si="5"/>
        <v>#DIV/0!</v>
      </c>
    </row>
    <row r="197" spans="1:7" s="209" customFormat="1" ht="21" customHeight="1">
      <c r="A197" s="19" t="s">
        <v>304</v>
      </c>
      <c r="B197" s="206"/>
      <c r="C197" s="166"/>
      <c r="D197" s="203"/>
      <c r="E197" s="166">
        <v>14.7</v>
      </c>
      <c r="F197" s="82">
        <f t="shared" si="4"/>
        <v>14.7</v>
      </c>
      <c r="G197" s="420" t="e">
        <f t="shared" si="5"/>
        <v>#DIV/0!</v>
      </c>
    </row>
    <row r="198" spans="1:7" s="209" customFormat="1" ht="22.5" customHeight="1">
      <c r="A198" s="16" t="s">
        <v>305</v>
      </c>
      <c r="B198" s="206"/>
      <c r="C198" s="166"/>
      <c r="D198" s="203"/>
      <c r="E198" s="166">
        <v>17.399999999999999</v>
      </c>
      <c r="F198" s="82">
        <f t="shared" si="4"/>
        <v>17.399999999999999</v>
      </c>
      <c r="G198" s="420" t="e">
        <f t="shared" si="5"/>
        <v>#DIV/0!</v>
      </c>
    </row>
    <row r="199" spans="1:7" s="209" customFormat="1" ht="18.75" customHeight="1">
      <c r="A199" s="19" t="s">
        <v>306</v>
      </c>
      <c r="B199" s="206"/>
      <c r="C199" s="166"/>
      <c r="D199" s="203"/>
      <c r="E199" s="166">
        <v>18.8</v>
      </c>
      <c r="F199" s="82">
        <f t="shared" si="4"/>
        <v>18.8</v>
      </c>
      <c r="G199" s="420" t="e">
        <f t="shared" si="5"/>
        <v>#DIV/0!</v>
      </c>
    </row>
    <row r="200" spans="1:7" s="209" customFormat="1" ht="26.25" customHeight="1">
      <c r="A200" s="19" t="s">
        <v>307</v>
      </c>
      <c r="B200" s="206"/>
      <c r="C200" s="166"/>
      <c r="D200" s="203"/>
      <c r="E200" s="166">
        <v>6.9</v>
      </c>
      <c r="F200" s="82">
        <f t="shared" ref="F200:F263" si="6">E200-D200</f>
        <v>6.9</v>
      </c>
      <c r="G200" s="420" t="e">
        <f t="shared" ref="G200:G263" si="7">(E200/D200)*100</f>
        <v>#DIV/0!</v>
      </c>
    </row>
    <row r="201" spans="1:7" s="209" customFormat="1" ht="38.25" customHeight="1">
      <c r="A201" s="16" t="s">
        <v>439</v>
      </c>
      <c r="B201" s="206"/>
      <c r="C201" s="166"/>
      <c r="D201" s="203"/>
      <c r="E201" s="166">
        <v>29.8</v>
      </c>
      <c r="F201" s="82">
        <f t="shared" si="6"/>
        <v>29.8</v>
      </c>
      <c r="G201" s="420" t="e">
        <f t="shared" si="7"/>
        <v>#DIV/0!</v>
      </c>
    </row>
    <row r="202" spans="1:7" s="209" customFormat="1" ht="31.5" customHeight="1">
      <c r="A202" s="16" t="s">
        <v>399</v>
      </c>
      <c r="B202" s="206"/>
      <c r="C202" s="166"/>
      <c r="D202" s="203"/>
      <c r="E202" s="166">
        <v>12.4</v>
      </c>
      <c r="F202" s="82">
        <f t="shared" si="6"/>
        <v>12.4</v>
      </c>
      <c r="G202" s="420" t="e">
        <f t="shared" si="7"/>
        <v>#DIV/0!</v>
      </c>
    </row>
    <row r="203" spans="1:7" s="209" customFormat="1" ht="38.25" customHeight="1">
      <c r="A203" s="16" t="s">
        <v>400</v>
      </c>
      <c r="B203" s="206"/>
      <c r="C203" s="166"/>
      <c r="D203" s="203"/>
      <c r="E203" s="166">
        <v>5.2</v>
      </c>
      <c r="F203" s="82">
        <f t="shared" si="6"/>
        <v>5.2</v>
      </c>
      <c r="G203" s="420" t="e">
        <f t="shared" si="7"/>
        <v>#DIV/0!</v>
      </c>
    </row>
    <row r="204" spans="1:7" s="209" customFormat="1" ht="38.25" customHeight="1">
      <c r="A204" s="16" t="s">
        <v>401</v>
      </c>
      <c r="B204" s="206"/>
      <c r="C204" s="166"/>
      <c r="D204" s="203"/>
      <c r="E204" s="166">
        <v>12.4</v>
      </c>
      <c r="F204" s="82">
        <f t="shared" si="6"/>
        <v>12.4</v>
      </c>
      <c r="G204" s="420" t="e">
        <f t="shared" si="7"/>
        <v>#DIV/0!</v>
      </c>
    </row>
    <row r="205" spans="1:7" s="209" customFormat="1" ht="38.25" customHeight="1">
      <c r="A205" s="16" t="s">
        <v>402</v>
      </c>
      <c r="B205" s="206"/>
      <c r="C205" s="166"/>
      <c r="D205" s="203"/>
      <c r="E205" s="166">
        <v>5.2</v>
      </c>
      <c r="F205" s="82">
        <f t="shared" si="6"/>
        <v>5.2</v>
      </c>
      <c r="G205" s="420" t="e">
        <f t="shared" si="7"/>
        <v>#DIV/0!</v>
      </c>
    </row>
    <row r="206" spans="1:7" s="209" customFormat="1" ht="32.25" customHeight="1">
      <c r="A206" s="16" t="s">
        <v>308</v>
      </c>
      <c r="B206" s="206"/>
      <c r="C206" s="166"/>
      <c r="D206" s="203"/>
      <c r="E206" s="166">
        <v>7</v>
      </c>
      <c r="F206" s="82">
        <f t="shared" si="6"/>
        <v>7</v>
      </c>
      <c r="G206" s="420" t="e">
        <f t="shared" si="7"/>
        <v>#DIV/0!</v>
      </c>
    </row>
    <row r="207" spans="1:7" s="209" customFormat="1" ht="38.25" customHeight="1">
      <c r="A207" s="16" t="s">
        <v>309</v>
      </c>
      <c r="B207" s="206"/>
      <c r="C207" s="166"/>
      <c r="D207" s="203"/>
      <c r="E207" s="166">
        <v>2.9</v>
      </c>
      <c r="F207" s="82">
        <f t="shared" si="6"/>
        <v>2.9</v>
      </c>
      <c r="G207" s="420" t="e">
        <f t="shared" si="7"/>
        <v>#DIV/0!</v>
      </c>
    </row>
    <row r="208" spans="1:7" s="209" customFormat="1" ht="38.25" customHeight="1">
      <c r="A208" s="16" t="s">
        <v>310</v>
      </c>
      <c r="B208" s="206"/>
      <c r="C208" s="166"/>
      <c r="D208" s="203"/>
      <c r="E208" s="166">
        <v>11</v>
      </c>
      <c r="F208" s="82">
        <f t="shared" si="6"/>
        <v>11</v>
      </c>
      <c r="G208" s="420" t="e">
        <f t="shared" si="7"/>
        <v>#DIV/0!</v>
      </c>
    </row>
    <row r="209" spans="1:7" s="209" customFormat="1" ht="21.75" customHeight="1">
      <c r="A209" s="19" t="s">
        <v>403</v>
      </c>
      <c r="B209" s="206"/>
      <c r="C209" s="166"/>
      <c r="D209" s="203"/>
      <c r="E209" s="166">
        <v>1.6</v>
      </c>
      <c r="F209" s="82">
        <f t="shared" si="6"/>
        <v>1.6</v>
      </c>
      <c r="G209" s="420" t="e">
        <f t="shared" si="7"/>
        <v>#DIV/0!</v>
      </c>
    </row>
    <row r="210" spans="1:7" s="209" customFormat="1" ht="18.75" customHeight="1">
      <c r="A210" s="19" t="s">
        <v>311</v>
      </c>
      <c r="B210" s="206"/>
      <c r="C210" s="166"/>
      <c r="D210" s="203"/>
      <c r="E210" s="166">
        <v>4.8</v>
      </c>
      <c r="F210" s="82">
        <f t="shared" si="6"/>
        <v>4.8</v>
      </c>
      <c r="G210" s="420" t="e">
        <f t="shared" si="7"/>
        <v>#DIV/0!</v>
      </c>
    </row>
    <row r="211" spans="1:7" s="209" customFormat="1" ht="21" customHeight="1">
      <c r="A211" s="19" t="s">
        <v>440</v>
      </c>
      <c r="B211" s="206"/>
      <c r="C211" s="166"/>
      <c r="D211" s="203"/>
      <c r="E211" s="166">
        <v>14.3</v>
      </c>
      <c r="F211" s="82">
        <f t="shared" si="6"/>
        <v>14.3</v>
      </c>
      <c r="G211" s="420" t="e">
        <f t="shared" si="7"/>
        <v>#DIV/0!</v>
      </c>
    </row>
    <row r="212" spans="1:7" s="209" customFormat="1" ht="20.25" customHeight="1">
      <c r="A212" s="19" t="s">
        <v>404</v>
      </c>
      <c r="B212" s="206"/>
      <c r="C212" s="166"/>
      <c r="D212" s="203"/>
      <c r="E212" s="166">
        <v>1.4</v>
      </c>
      <c r="F212" s="82">
        <f t="shared" si="6"/>
        <v>1.4</v>
      </c>
      <c r="G212" s="420" t="e">
        <f t="shared" si="7"/>
        <v>#DIV/0!</v>
      </c>
    </row>
    <row r="213" spans="1:7" s="209" customFormat="1" ht="22.5" customHeight="1">
      <c r="A213" s="19" t="s">
        <v>441</v>
      </c>
      <c r="B213" s="206"/>
      <c r="C213" s="166"/>
      <c r="D213" s="203"/>
      <c r="E213" s="166">
        <v>99</v>
      </c>
      <c r="F213" s="82">
        <f t="shared" si="6"/>
        <v>99</v>
      </c>
      <c r="G213" s="420" t="e">
        <f t="shared" si="7"/>
        <v>#DIV/0!</v>
      </c>
    </row>
    <row r="214" spans="1:7" s="209" customFormat="1" ht="22.5" customHeight="1">
      <c r="A214" s="16" t="s">
        <v>442</v>
      </c>
      <c r="B214" s="206"/>
      <c r="C214" s="166"/>
      <c r="D214" s="203"/>
      <c r="E214" s="166">
        <v>3.4</v>
      </c>
      <c r="F214" s="82">
        <f t="shared" si="6"/>
        <v>3.4</v>
      </c>
      <c r="G214" s="420" t="e">
        <f t="shared" si="7"/>
        <v>#DIV/0!</v>
      </c>
    </row>
    <row r="215" spans="1:7" s="209" customFormat="1" ht="18.75" customHeight="1">
      <c r="A215" s="16" t="s">
        <v>443</v>
      </c>
      <c r="B215" s="206"/>
      <c r="C215" s="166"/>
      <c r="D215" s="203"/>
      <c r="E215" s="166">
        <v>2.2000000000000002</v>
      </c>
      <c r="F215" s="82">
        <f t="shared" si="6"/>
        <v>2.2000000000000002</v>
      </c>
      <c r="G215" s="420" t="e">
        <f t="shared" si="7"/>
        <v>#DIV/0!</v>
      </c>
    </row>
    <row r="216" spans="1:7" s="209" customFormat="1" ht="19.5" customHeight="1">
      <c r="A216" s="19" t="s">
        <v>444</v>
      </c>
      <c r="B216" s="206"/>
      <c r="C216" s="166"/>
      <c r="D216" s="203"/>
      <c r="E216" s="166">
        <v>3.6</v>
      </c>
      <c r="F216" s="82">
        <f t="shared" si="6"/>
        <v>3.6</v>
      </c>
      <c r="G216" s="420" t="e">
        <f t="shared" si="7"/>
        <v>#DIV/0!</v>
      </c>
    </row>
    <row r="217" spans="1:7" s="209" customFormat="1" ht="22.5" customHeight="1">
      <c r="A217" s="19" t="s">
        <v>445</v>
      </c>
      <c r="B217" s="206"/>
      <c r="C217" s="166"/>
      <c r="D217" s="203"/>
      <c r="E217" s="166">
        <v>0.3</v>
      </c>
      <c r="F217" s="82">
        <f t="shared" si="6"/>
        <v>0.3</v>
      </c>
      <c r="G217" s="420" t="e">
        <f t="shared" si="7"/>
        <v>#DIV/0!</v>
      </c>
    </row>
    <row r="218" spans="1:7" s="209" customFormat="1" ht="21" customHeight="1">
      <c r="A218" s="19" t="s">
        <v>446</v>
      </c>
      <c r="B218" s="206"/>
      <c r="C218" s="166"/>
      <c r="D218" s="203"/>
      <c r="E218" s="166">
        <v>1</v>
      </c>
      <c r="F218" s="82">
        <f t="shared" si="6"/>
        <v>1</v>
      </c>
      <c r="G218" s="420" t="e">
        <f t="shared" si="7"/>
        <v>#DIV/0!</v>
      </c>
    </row>
    <row r="219" spans="1:7" s="209" customFormat="1" ht="22.5" customHeight="1">
      <c r="A219" s="19" t="s">
        <v>447</v>
      </c>
      <c r="B219" s="206"/>
      <c r="C219" s="166"/>
      <c r="D219" s="203"/>
      <c r="E219" s="166">
        <v>1.3</v>
      </c>
      <c r="F219" s="82">
        <f t="shared" si="6"/>
        <v>1.3</v>
      </c>
      <c r="G219" s="420" t="e">
        <f t="shared" si="7"/>
        <v>#DIV/0!</v>
      </c>
    </row>
    <row r="220" spans="1:7" s="209" customFormat="1" ht="22.5" customHeight="1">
      <c r="A220" s="19" t="s">
        <v>405</v>
      </c>
      <c r="B220" s="206"/>
      <c r="C220" s="166"/>
      <c r="D220" s="203"/>
      <c r="E220" s="166">
        <v>1.2</v>
      </c>
      <c r="F220" s="82">
        <f t="shared" si="6"/>
        <v>1.2</v>
      </c>
      <c r="G220" s="420" t="e">
        <f t="shared" si="7"/>
        <v>#DIV/0!</v>
      </c>
    </row>
    <row r="221" spans="1:7" s="209" customFormat="1" ht="23.25" customHeight="1">
      <c r="A221" s="19" t="s">
        <v>406</v>
      </c>
      <c r="B221" s="206"/>
      <c r="C221" s="166"/>
      <c r="D221" s="203"/>
      <c r="E221" s="166">
        <v>5.2</v>
      </c>
      <c r="F221" s="82">
        <f t="shared" si="6"/>
        <v>5.2</v>
      </c>
      <c r="G221" s="420" t="e">
        <f t="shared" si="7"/>
        <v>#DIV/0!</v>
      </c>
    </row>
    <row r="222" spans="1:7" s="209" customFormat="1" ht="22.5" customHeight="1">
      <c r="A222" s="19" t="s">
        <v>407</v>
      </c>
      <c r="B222" s="206"/>
      <c r="C222" s="166"/>
      <c r="D222" s="203"/>
      <c r="E222" s="166">
        <v>4</v>
      </c>
      <c r="F222" s="82">
        <f t="shared" si="6"/>
        <v>4</v>
      </c>
      <c r="G222" s="420" t="e">
        <f t="shared" si="7"/>
        <v>#DIV/0!</v>
      </c>
    </row>
    <row r="223" spans="1:7" s="209" customFormat="1" ht="22.5" customHeight="1">
      <c r="A223" s="19" t="s">
        <v>408</v>
      </c>
      <c r="B223" s="206"/>
      <c r="C223" s="166"/>
      <c r="D223" s="203"/>
      <c r="E223" s="166">
        <v>5.3</v>
      </c>
      <c r="F223" s="82">
        <f t="shared" si="6"/>
        <v>5.3</v>
      </c>
      <c r="G223" s="420" t="e">
        <f t="shared" si="7"/>
        <v>#DIV/0!</v>
      </c>
    </row>
    <row r="224" spans="1:7" s="209" customFormat="1" ht="25.5" customHeight="1">
      <c r="A224" s="19" t="s">
        <v>409</v>
      </c>
      <c r="B224" s="206"/>
      <c r="C224" s="166"/>
      <c r="D224" s="203"/>
      <c r="E224" s="166">
        <v>3.4</v>
      </c>
      <c r="F224" s="82">
        <f t="shared" si="6"/>
        <v>3.4</v>
      </c>
      <c r="G224" s="420" t="e">
        <f t="shared" si="7"/>
        <v>#DIV/0!</v>
      </c>
    </row>
    <row r="225" spans="1:7" s="209" customFormat="1" ht="21.75" customHeight="1">
      <c r="A225" s="19" t="s">
        <v>410</v>
      </c>
      <c r="B225" s="206"/>
      <c r="C225" s="166"/>
      <c r="D225" s="203"/>
      <c r="E225" s="166">
        <v>2.5</v>
      </c>
      <c r="F225" s="82">
        <f t="shared" si="6"/>
        <v>2.5</v>
      </c>
      <c r="G225" s="420" t="e">
        <f t="shared" si="7"/>
        <v>#DIV/0!</v>
      </c>
    </row>
    <row r="226" spans="1:7" s="209" customFormat="1" ht="23.25" customHeight="1">
      <c r="A226" s="19" t="s">
        <v>411</v>
      </c>
      <c r="B226" s="206"/>
      <c r="C226" s="166"/>
      <c r="D226" s="203"/>
      <c r="E226" s="166">
        <v>18.399999999999999</v>
      </c>
      <c r="F226" s="82">
        <f t="shared" si="6"/>
        <v>18.399999999999999</v>
      </c>
      <c r="G226" s="420" t="e">
        <f t="shared" si="7"/>
        <v>#DIV/0!</v>
      </c>
    </row>
    <row r="227" spans="1:7" s="209" customFormat="1" ht="24.75" customHeight="1">
      <c r="A227" s="19" t="s">
        <v>412</v>
      </c>
      <c r="B227" s="206"/>
      <c r="C227" s="166"/>
      <c r="D227" s="203"/>
      <c r="E227" s="166">
        <v>1.4</v>
      </c>
      <c r="F227" s="82">
        <f t="shared" si="6"/>
        <v>1.4</v>
      </c>
      <c r="G227" s="420" t="e">
        <f t="shared" si="7"/>
        <v>#DIV/0!</v>
      </c>
    </row>
    <row r="228" spans="1:7" s="209" customFormat="1" ht="23.25" customHeight="1">
      <c r="A228" s="19" t="s">
        <v>413</v>
      </c>
      <c r="B228" s="206"/>
      <c r="C228" s="166"/>
      <c r="D228" s="203"/>
      <c r="E228" s="166">
        <v>13.2</v>
      </c>
      <c r="F228" s="82">
        <f t="shared" si="6"/>
        <v>13.2</v>
      </c>
      <c r="G228" s="420" t="e">
        <f t="shared" si="7"/>
        <v>#DIV/0!</v>
      </c>
    </row>
    <row r="229" spans="1:7" s="209" customFormat="1" ht="24.75" customHeight="1">
      <c r="A229" s="16" t="s">
        <v>414</v>
      </c>
      <c r="B229" s="206"/>
      <c r="C229" s="166"/>
      <c r="D229" s="203"/>
      <c r="E229" s="166">
        <v>13.4</v>
      </c>
      <c r="F229" s="82">
        <f t="shared" si="6"/>
        <v>13.4</v>
      </c>
      <c r="G229" s="420" t="e">
        <f t="shared" si="7"/>
        <v>#DIV/0!</v>
      </c>
    </row>
    <row r="230" spans="1:7" s="209" customFormat="1" ht="23.25" customHeight="1">
      <c r="A230" s="19" t="s">
        <v>415</v>
      </c>
      <c r="B230" s="206"/>
      <c r="C230" s="166"/>
      <c r="D230" s="203"/>
      <c r="E230" s="166">
        <v>16</v>
      </c>
      <c r="F230" s="82">
        <f t="shared" si="6"/>
        <v>16</v>
      </c>
      <c r="G230" s="420" t="e">
        <f t="shared" si="7"/>
        <v>#DIV/0!</v>
      </c>
    </row>
    <row r="231" spans="1:7" s="209" customFormat="1" ht="24" customHeight="1">
      <c r="A231" s="19" t="s">
        <v>448</v>
      </c>
      <c r="B231" s="206"/>
      <c r="C231" s="166"/>
      <c r="D231" s="203"/>
      <c r="E231" s="166">
        <v>287.60000000000002</v>
      </c>
      <c r="F231" s="82">
        <f t="shared" si="6"/>
        <v>287.60000000000002</v>
      </c>
      <c r="G231" s="420" t="e">
        <f t="shared" si="7"/>
        <v>#DIV/0!</v>
      </c>
    </row>
    <row r="232" spans="1:7" s="209" customFormat="1" ht="26.25" customHeight="1">
      <c r="A232" s="19" t="s">
        <v>449</v>
      </c>
      <c r="B232" s="206"/>
      <c r="C232" s="166"/>
      <c r="D232" s="203"/>
      <c r="E232" s="166">
        <v>185.5</v>
      </c>
      <c r="F232" s="82">
        <f t="shared" si="6"/>
        <v>185.5</v>
      </c>
      <c r="G232" s="420" t="e">
        <f t="shared" si="7"/>
        <v>#DIV/0!</v>
      </c>
    </row>
    <row r="233" spans="1:7" s="209" customFormat="1" ht="38.25" customHeight="1">
      <c r="A233" s="16" t="s">
        <v>450</v>
      </c>
      <c r="B233" s="206"/>
      <c r="C233" s="166"/>
      <c r="D233" s="203"/>
      <c r="E233" s="166">
        <v>144.30000000000001</v>
      </c>
      <c r="F233" s="82">
        <f t="shared" si="6"/>
        <v>144.30000000000001</v>
      </c>
      <c r="G233" s="420" t="e">
        <f t="shared" si="7"/>
        <v>#DIV/0!</v>
      </c>
    </row>
    <row r="234" spans="1:7" s="209" customFormat="1" ht="38.25" customHeight="1">
      <c r="A234" s="16" t="s">
        <v>451</v>
      </c>
      <c r="B234" s="206"/>
      <c r="C234" s="166"/>
      <c r="D234" s="203"/>
      <c r="E234" s="166">
        <v>226.1</v>
      </c>
      <c r="F234" s="82">
        <f t="shared" si="6"/>
        <v>226.1</v>
      </c>
      <c r="G234" s="420" t="e">
        <f t="shared" si="7"/>
        <v>#DIV/0!</v>
      </c>
    </row>
    <row r="235" spans="1:7" s="209" customFormat="1" ht="38.25" customHeight="1">
      <c r="A235" s="16" t="s">
        <v>452</v>
      </c>
      <c r="B235" s="206"/>
      <c r="C235" s="166"/>
      <c r="D235" s="203"/>
      <c r="E235" s="166">
        <v>51</v>
      </c>
      <c r="F235" s="82">
        <f t="shared" si="6"/>
        <v>51</v>
      </c>
      <c r="G235" s="420" t="e">
        <f t="shared" si="7"/>
        <v>#DIV/0!</v>
      </c>
    </row>
    <row r="236" spans="1:7" s="209" customFormat="1" ht="23.25" customHeight="1">
      <c r="A236" s="16" t="s">
        <v>453</v>
      </c>
      <c r="B236" s="206"/>
      <c r="C236" s="166"/>
      <c r="D236" s="203"/>
      <c r="E236" s="166">
        <v>44.4</v>
      </c>
      <c r="F236" s="82">
        <f t="shared" si="6"/>
        <v>44.4</v>
      </c>
      <c r="G236" s="420" t="e">
        <f t="shared" si="7"/>
        <v>#DIV/0!</v>
      </c>
    </row>
    <row r="237" spans="1:7" s="209" customFormat="1" ht="21.75" customHeight="1">
      <c r="A237" s="19" t="s">
        <v>416</v>
      </c>
      <c r="B237" s="206"/>
      <c r="C237" s="166"/>
      <c r="D237" s="203"/>
      <c r="E237" s="166">
        <v>8.1</v>
      </c>
      <c r="F237" s="82">
        <f t="shared" si="6"/>
        <v>8.1</v>
      </c>
      <c r="G237" s="420" t="e">
        <f t="shared" si="7"/>
        <v>#DIV/0!</v>
      </c>
    </row>
    <row r="238" spans="1:7" s="209" customFormat="1" ht="22.5" customHeight="1">
      <c r="A238" s="19" t="s">
        <v>417</v>
      </c>
      <c r="B238" s="206"/>
      <c r="C238" s="166"/>
      <c r="D238" s="203"/>
      <c r="E238" s="166">
        <v>2</v>
      </c>
      <c r="F238" s="82">
        <f t="shared" si="6"/>
        <v>2</v>
      </c>
      <c r="G238" s="420" t="e">
        <f t="shared" si="7"/>
        <v>#DIV/0!</v>
      </c>
    </row>
    <row r="239" spans="1:7" s="209" customFormat="1" ht="22.5" customHeight="1">
      <c r="A239" s="19" t="s">
        <v>570</v>
      </c>
      <c r="B239" s="206"/>
      <c r="C239" s="166"/>
      <c r="D239" s="203"/>
      <c r="E239" s="166">
        <v>1.9</v>
      </c>
      <c r="F239" s="82">
        <f t="shared" si="6"/>
        <v>1.9</v>
      </c>
      <c r="G239" s="420" t="e">
        <f t="shared" si="7"/>
        <v>#DIV/0!</v>
      </c>
    </row>
    <row r="240" spans="1:7" s="209" customFormat="1" ht="20.25" customHeight="1">
      <c r="A240" s="19" t="s">
        <v>571</v>
      </c>
      <c r="B240" s="206"/>
      <c r="C240" s="166"/>
      <c r="D240" s="203"/>
      <c r="E240" s="166">
        <v>1.3</v>
      </c>
      <c r="F240" s="82">
        <f t="shared" si="6"/>
        <v>1.3</v>
      </c>
      <c r="G240" s="420" t="e">
        <f t="shared" si="7"/>
        <v>#DIV/0!</v>
      </c>
    </row>
    <row r="241" spans="1:7" s="209" customFormat="1" ht="25.5" customHeight="1">
      <c r="A241" s="19" t="s">
        <v>572</v>
      </c>
      <c r="B241" s="206"/>
      <c r="C241" s="166"/>
      <c r="D241" s="203"/>
      <c r="E241" s="196">
        <v>0.8</v>
      </c>
      <c r="F241" s="82">
        <f t="shared" si="6"/>
        <v>0.8</v>
      </c>
      <c r="G241" s="420" t="e">
        <f t="shared" si="7"/>
        <v>#DIV/0!</v>
      </c>
    </row>
    <row r="242" spans="1:7" s="209" customFormat="1" ht="23.25" customHeight="1">
      <c r="A242" s="19" t="s">
        <v>604</v>
      </c>
      <c r="B242" s="206"/>
      <c r="C242" s="166"/>
      <c r="D242" s="203"/>
      <c r="E242" s="166">
        <v>0.3</v>
      </c>
      <c r="F242" s="82">
        <f t="shared" si="6"/>
        <v>0.3</v>
      </c>
      <c r="G242" s="420" t="e">
        <f t="shared" si="7"/>
        <v>#DIV/0!</v>
      </c>
    </row>
    <row r="243" spans="1:7" s="209" customFormat="1" ht="25.5" customHeight="1">
      <c r="A243" s="16" t="s">
        <v>605</v>
      </c>
      <c r="B243" s="206"/>
      <c r="C243" s="166"/>
      <c r="D243" s="203"/>
      <c r="E243" s="166">
        <v>2.5</v>
      </c>
      <c r="F243" s="82">
        <f t="shared" si="6"/>
        <v>2.5</v>
      </c>
      <c r="G243" s="420" t="e">
        <f t="shared" si="7"/>
        <v>#DIV/0!</v>
      </c>
    </row>
    <row r="244" spans="1:7" s="209" customFormat="1" ht="24" customHeight="1">
      <c r="A244" s="19" t="s">
        <v>573</v>
      </c>
      <c r="B244" s="206"/>
      <c r="C244" s="166"/>
      <c r="D244" s="203"/>
      <c r="E244" s="166">
        <v>5.8</v>
      </c>
      <c r="F244" s="82">
        <f t="shared" si="6"/>
        <v>5.8</v>
      </c>
      <c r="G244" s="420" t="e">
        <f t="shared" si="7"/>
        <v>#DIV/0!</v>
      </c>
    </row>
    <row r="245" spans="1:7" s="209" customFormat="1" ht="43.5" customHeight="1">
      <c r="A245" s="16" t="s">
        <v>574</v>
      </c>
      <c r="B245" s="206"/>
      <c r="C245" s="166"/>
      <c r="D245" s="203"/>
      <c r="E245" s="166">
        <v>63.7</v>
      </c>
      <c r="F245" s="82">
        <f t="shared" si="6"/>
        <v>63.7</v>
      </c>
      <c r="G245" s="420" t="e">
        <f t="shared" si="7"/>
        <v>#DIV/0!</v>
      </c>
    </row>
    <row r="246" spans="1:7" s="209" customFormat="1" ht="25.5" customHeight="1">
      <c r="A246" s="19" t="s">
        <v>575</v>
      </c>
      <c r="B246" s="206"/>
      <c r="C246" s="166"/>
      <c r="D246" s="203"/>
      <c r="E246" s="166">
        <v>1.1000000000000001</v>
      </c>
      <c r="F246" s="82">
        <f t="shared" si="6"/>
        <v>1.1000000000000001</v>
      </c>
      <c r="G246" s="420" t="e">
        <f t="shared" si="7"/>
        <v>#DIV/0!</v>
      </c>
    </row>
    <row r="247" spans="1:7" s="209" customFormat="1" ht="22.5" customHeight="1">
      <c r="A247" s="16" t="s">
        <v>576</v>
      </c>
      <c r="B247" s="206"/>
      <c r="C247" s="166"/>
      <c r="D247" s="203"/>
      <c r="E247" s="166">
        <v>15.2</v>
      </c>
      <c r="F247" s="82">
        <f t="shared" si="6"/>
        <v>15.2</v>
      </c>
      <c r="G247" s="420" t="e">
        <f t="shared" si="7"/>
        <v>#DIV/0!</v>
      </c>
    </row>
    <row r="248" spans="1:7" s="209" customFormat="1" ht="24" customHeight="1">
      <c r="A248" s="19" t="s">
        <v>577</v>
      </c>
      <c r="B248" s="206"/>
      <c r="C248" s="166"/>
      <c r="D248" s="203"/>
      <c r="E248" s="166">
        <v>4.2</v>
      </c>
      <c r="F248" s="82">
        <f t="shared" si="6"/>
        <v>4.2</v>
      </c>
      <c r="G248" s="420" t="e">
        <f t="shared" si="7"/>
        <v>#DIV/0!</v>
      </c>
    </row>
    <row r="249" spans="1:7" s="209" customFormat="1" ht="38.25" customHeight="1">
      <c r="A249" s="16" t="s">
        <v>578</v>
      </c>
      <c r="B249" s="206"/>
      <c r="C249" s="166"/>
      <c r="D249" s="203"/>
      <c r="E249" s="166">
        <v>13</v>
      </c>
      <c r="F249" s="82">
        <f t="shared" si="6"/>
        <v>13</v>
      </c>
      <c r="G249" s="420" t="e">
        <f t="shared" si="7"/>
        <v>#DIV/0!</v>
      </c>
    </row>
    <row r="250" spans="1:7" s="209" customFormat="1" ht="24.75" customHeight="1">
      <c r="A250" s="16" t="s">
        <v>579</v>
      </c>
      <c r="B250" s="206"/>
      <c r="C250" s="166"/>
      <c r="D250" s="203"/>
      <c r="E250" s="166">
        <v>11.4</v>
      </c>
      <c r="F250" s="82">
        <f t="shared" si="6"/>
        <v>11.4</v>
      </c>
      <c r="G250" s="420" t="e">
        <f t="shared" si="7"/>
        <v>#DIV/0!</v>
      </c>
    </row>
    <row r="251" spans="1:7" s="209" customFormat="1" ht="38.25" customHeight="1">
      <c r="A251" s="16" t="s">
        <v>603</v>
      </c>
      <c r="B251" s="206"/>
      <c r="C251" s="166"/>
      <c r="D251" s="203"/>
      <c r="E251" s="166">
        <v>11.2</v>
      </c>
      <c r="F251" s="82">
        <f t="shared" si="6"/>
        <v>11.2</v>
      </c>
      <c r="G251" s="420" t="e">
        <f t="shared" si="7"/>
        <v>#DIV/0!</v>
      </c>
    </row>
    <row r="252" spans="1:7" s="209" customFormat="1" ht="18" customHeight="1">
      <c r="A252" s="19" t="s">
        <v>602</v>
      </c>
      <c r="B252" s="206"/>
      <c r="C252" s="166"/>
      <c r="D252" s="203"/>
      <c r="E252" s="166">
        <v>27</v>
      </c>
      <c r="F252" s="82">
        <f t="shared" si="6"/>
        <v>27</v>
      </c>
      <c r="G252" s="420" t="e">
        <f t="shared" si="7"/>
        <v>#DIV/0!</v>
      </c>
    </row>
    <row r="253" spans="1:7" s="209" customFormat="1" ht="21" customHeight="1">
      <c r="A253" s="19" t="s">
        <v>601</v>
      </c>
      <c r="B253" s="206"/>
      <c r="C253" s="166"/>
      <c r="D253" s="203"/>
      <c r="E253" s="166">
        <v>27.3</v>
      </c>
      <c r="F253" s="82">
        <f t="shared" si="6"/>
        <v>27.3</v>
      </c>
      <c r="G253" s="420" t="e">
        <f t="shared" si="7"/>
        <v>#DIV/0!</v>
      </c>
    </row>
    <row r="254" spans="1:7" s="209" customFormat="1" ht="18.75" customHeight="1">
      <c r="A254" s="19" t="s">
        <v>606</v>
      </c>
      <c r="B254" s="206"/>
      <c r="C254" s="166"/>
      <c r="D254" s="203"/>
      <c r="E254" s="166">
        <v>3.8</v>
      </c>
      <c r="F254" s="82">
        <f t="shared" si="6"/>
        <v>3.8</v>
      </c>
      <c r="G254" s="420" t="e">
        <f t="shared" si="7"/>
        <v>#DIV/0!</v>
      </c>
    </row>
    <row r="255" spans="1:7" s="209" customFormat="1" ht="18.75" customHeight="1">
      <c r="A255" s="16" t="s">
        <v>600</v>
      </c>
      <c r="B255" s="206"/>
      <c r="C255" s="166"/>
      <c r="D255" s="203"/>
      <c r="E255" s="166">
        <v>6.6</v>
      </c>
      <c r="F255" s="82">
        <f t="shared" si="6"/>
        <v>6.6</v>
      </c>
      <c r="G255" s="420" t="e">
        <f t="shared" si="7"/>
        <v>#DIV/0!</v>
      </c>
    </row>
    <row r="256" spans="1:7" s="209" customFormat="1" ht="21" customHeight="1">
      <c r="A256" s="19" t="s">
        <v>599</v>
      </c>
      <c r="B256" s="206"/>
      <c r="C256" s="166"/>
      <c r="D256" s="203"/>
      <c r="E256" s="166">
        <v>28.4</v>
      </c>
      <c r="F256" s="82">
        <f t="shared" si="6"/>
        <v>28.4</v>
      </c>
      <c r="G256" s="420" t="e">
        <f t="shared" si="7"/>
        <v>#DIV/0!</v>
      </c>
    </row>
    <row r="257" spans="1:7" s="209" customFormat="1" ht="20.25" customHeight="1">
      <c r="A257" s="19" t="s">
        <v>598</v>
      </c>
      <c r="B257" s="206"/>
      <c r="C257" s="166"/>
      <c r="D257" s="203"/>
      <c r="E257" s="166">
        <v>38.799999999999997</v>
      </c>
      <c r="F257" s="82">
        <f t="shared" si="6"/>
        <v>38.799999999999997</v>
      </c>
      <c r="G257" s="420" t="e">
        <f t="shared" si="7"/>
        <v>#DIV/0!</v>
      </c>
    </row>
    <row r="258" spans="1:7" s="209" customFormat="1" ht="21.75" customHeight="1">
      <c r="A258" s="19" t="s">
        <v>580</v>
      </c>
      <c r="B258" s="206"/>
      <c r="C258" s="166"/>
      <c r="D258" s="203"/>
      <c r="E258" s="166">
        <v>4</v>
      </c>
      <c r="F258" s="82">
        <f t="shared" si="6"/>
        <v>4</v>
      </c>
      <c r="G258" s="420" t="e">
        <f t="shared" si="7"/>
        <v>#DIV/0!</v>
      </c>
    </row>
    <row r="259" spans="1:7" s="209" customFormat="1" ht="22.5" customHeight="1">
      <c r="A259" s="19" t="s">
        <v>597</v>
      </c>
      <c r="B259" s="206"/>
      <c r="C259" s="166"/>
      <c r="D259" s="203"/>
      <c r="E259" s="166">
        <v>6.9</v>
      </c>
      <c r="F259" s="82">
        <f t="shared" si="6"/>
        <v>6.9</v>
      </c>
      <c r="G259" s="420" t="e">
        <f t="shared" si="7"/>
        <v>#DIV/0!</v>
      </c>
    </row>
    <row r="260" spans="1:7" s="209" customFormat="1" ht="38.25" customHeight="1">
      <c r="A260" s="16" t="s">
        <v>596</v>
      </c>
      <c r="B260" s="206"/>
      <c r="C260" s="166"/>
      <c r="D260" s="203"/>
      <c r="E260" s="166">
        <v>99</v>
      </c>
      <c r="F260" s="82">
        <f t="shared" si="6"/>
        <v>99</v>
      </c>
      <c r="G260" s="420" t="e">
        <f t="shared" si="7"/>
        <v>#DIV/0!</v>
      </c>
    </row>
    <row r="261" spans="1:7" s="209" customFormat="1" ht="20.25" customHeight="1">
      <c r="A261" s="414" t="s">
        <v>607</v>
      </c>
      <c r="B261" s="206"/>
      <c r="C261" s="166"/>
      <c r="D261" s="203"/>
      <c r="E261" s="166">
        <v>122.4</v>
      </c>
      <c r="F261" s="82">
        <f t="shared" si="6"/>
        <v>122.4</v>
      </c>
      <c r="G261" s="420" t="e">
        <f t="shared" si="7"/>
        <v>#DIV/0!</v>
      </c>
    </row>
    <row r="262" spans="1:7" s="209" customFormat="1" ht="22.5" customHeight="1">
      <c r="A262" s="16" t="s">
        <v>608</v>
      </c>
      <c r="B262" s="218"/>
      <c r="C262" s="166"/>
      <c r="D262" s="203"/>
      <c r="E262" s="166">
        <v>8.8000000000000007</v>
      </c>
      <c r="F262" s="82">
        <f t="shared" si="6"/>
        <v>8.8000000000000007</v>
      </c>
      <c r="G262" s="420" t="e">
        <f t="shared" si="7"/>
        <v>#DIV/0!</v>
      </c>
    </row>
    <row r="263" spans="1:7" s="209" customFormat="1" ht="23.25" customHeight="1">
      <c r="A263" s="415" t="s">
        <v>609</v>
      </c>
      <c r="B263" s="206"/>
      <c r="C263" s="166"/>
      <c r="D263" s="203"/>
      <c r="E263" s="166">
        <v>7.9</v>
      </c>
      <c r="F263" s="82">
        <f t="shared" si="6"/>
        <v>7.9</v>
      </c>
      <c r="G263" s="420" t="e">
        <f t="shared" si="7"/>
        <v>#DIV/0!</v>
      </c>
    </row>
    <row r="264" spans="1:7" s="209" customFormat="1" ht="21" customHeight="1">
      <c r="A264" s="19" t="s">
        <v>610</v>
      </c>
      <c r="B264" s="206"/>
      <c r="C264" s="166"/>
      <c r="D264" s="203"/>
      <c r="E264" s="166">
        <v>57.8</v>
      </c>
      <c r="F264" s="82">
        <f t="shared" ref="F264:F308" si="8">E264-D264</f>
        <v>57.8</v>
      </c>
      <c r="G264" s="420" t="e">
        <f t="shared" ref="G264:G308" si="9">(E264/D264)*100</f>
        <v>#DIV/0!</v>
      </c>
    </row>
    <row r="265" spans="1:7" s="209" customFormat="1" ht="22.5" customHeight="1">
      <c r="A265" s="19" t="s">
        <v>581</v>
      </c>
      <c r="B265" s="206"/>
      <c r="C265" s="166"/>
      <c r="D265" s="203"/>
      <c r="E265" s="166">
        <v>21.2</v>
      </c>
      <c r="F265" s="82">
        <f t="shared" si="8"/>
        <v>21.2</v>
      </c>
      <c r="G265" s="420" t="e">
        <f t="shared" si="9"/>
        <v>#DIV/0!</v>
      </c>
    </row>
    <row r="266" spans="1:7" s="209" customFormat="1" ht="38.25" customHeight="1">
      <c r="A266" s="16" t="s">
        <v>582</v>
      </c>
      <c r="B266" s="206"/>
      <c r="C266" s="166"/>
      <c r="D266" s="203"/>
      <c r="E266" s="166">
        <v>4</v>
      </c>
      <c r="F266" s="82">
        <f t="shared" si="8"/>
        <v>4</v>
      </c>
      <c r="G266" s="420" t="e">
        <f t="shared" si="9"/>
        <v>#DIV/0!</v>
      </c>
    </row>
    <row r="267" spans="1:7" s="209" customFormat="1" ht="21.75" customHeight="1">
      <c r="A267" s="19" t="s">
        <v>583</v>
      </c>
      <c r="B267" s="206"/>
      <c r="C267" s="166"/>
      <c r="D267" s="203"/>
      <c r="E267" s="166">
        <v>3.5</v>
      </c>
      <c r="F267" s="82">
        <f t="shared" si="8"/>
        <v>3.5</v>
      </c>
      <c r="G267" s="420" t="e">
        <f t="shared" si="9"/>
        <v>#DIV/0!</v>
      </c>
    </row>
    <row r="268" spans="1:7" s="209" customFormat="1" ht="38.25" customHeight="1">
      <c r="A268" s="16" t="s">
        <v>584</v>
      </c>
      <c r="B268" s="206"/>
      <c r="C268" s="166"/>
      <c r="D268" s="203"/>
      <c r="E268" s="166">
        <v>20.8</v>
      </c>
      <c r="F268" s="82">
        <f t="shared" si="8"/>
        <v>20.8</v>
      </c>
      <c r="G268" s="420" t="e">
        <f t="shared" si="9"/>
        <v>#DIV/0!</v>
      </c>
    </row>
    <row r="269" spans="1:7" s="209" customFormat="1" ht="23.25" customHeight="1">
      <c r="A269" s="19" t="s">
        <v>585</v>
      </c>
      <c r="B269" s="206"/>
      <c r="C269" s="166"/>
      <c r="D269" s="203"/>
      <c r="E269" s="166">
        <v>3.4</v>
      </c>
      <c r="F269" s="82">
        <f t="shared" si="8"/>
        <v>3.4</v>
      </c>
      <c r="G269" s="420" t="e">
        <f t="shared" si="9"/>
        <v>#DIV/0!</v>
      </c>
    </row>
    <row r="270" spans="1:7" s="209" customFormat="1" ht="19.5" customHeight="1">
      <c r="A270" s="19" t="s">
        <v>586</v>
      </c>
      <c r="B270" s="206"/>
      <c r="C270" s="166"/>
      <c r="D270" s="203"/>
      <c r="E270" s="166">
        <v>12.1</v>
      </c>
      <c r="F270" s="82">
        <f t="shared" si="8"/>
        <v>12.1</v>
      </c>
      <c r="G270" s="420" t="e">
        <f t="shared" si="9"/>
        <v>#DIV/0!</v>
      </c>
    </row>
    <row r="271" spans="1:7" s="209" customFormat="1" ht="23.25" customHeight="1">
      <c r="A271" s="19" t="s">
        <v>587</v>
      </c>
      <c r="B271" s="206"/>
      <c r="C271" s="166"/>
      <c r="D271" s="203"/>
      <c r="E271" s="166">
        <v>5.7</v>
      </c>
      <c r="F271" s="82">
        <f t="shared" si="8"/>
        <v>5.7</v>
      </c>
      <c r="G271" s="420" t="e">
        <f t="shared" si="9"/>
        <v>#DIV/0!</v>
      </c>
    </row>
    <row r="272" spans="1:7" s="209" customFormat="1" ht="17.25" customHeight="1">
      <c r="A272" s="19" t="s">
        <v>612</v>
      </c>
      <c r="B272" s="206"/>
      <c r="C272" s="166"/>
      <c r="D272" s="203"/>
      <c r="E272" s="166">
        <v>159.6</v>
      </c>
      <c r="F272" s="82">
        <f t="shared" si="8"/>
        <v>159.6</v>
      </c>
      <c r="G272" s="420" t="e">
        <f t="shared" si="9"/>
        <v>#DIV/0!</v>
      </c>
    </row>
    <row r="273" spans="1:7" s="209" customFormat="1" ht="20.25" customHeight="1">
      <c r="A273" s="19" t="s">
        <v>613</v>
      </c>
      <c r="B273" s="206"/>
      <c r="C273" s="166"/>
      <c r="D273" s="203"/>
      <c r="E273" s="166">
        <v>112.9</v>
      </c>
      <c r="F273" s="82">
        <f t="shared" si="8"/>
        <v>112.9</v>
      </c>
      <c r="G273" s="420" t="e">
        <f t="shared" si="9"/>
        <v>#DIV/0!</v>
      </c>
    </row>
    <row r="274" spans="1:7" s="209" customFormat="1" ht="21.75" customHeight="1">
      <c r="A274" s="19" t="s">
        <v>614</v>
      </c>
      <c r="B274" s="206"/>
      <c r="C274" s="166"/>
      <c r="D274" s="203"/>
      <c r="E274" s="166">
        <v>74.8</v>
      </c>
      <c r="F274" s="82">
        <f t="shared" si="8"/>
        <v>74.8</v>
      </c>
      <c r="G274" s="420" t="e">
        <f t="shared" si="9"/>
        <v>#DIV/0!</v>
      </c>
    </row>
    <row r="275" spans="1:7" s="209" customFormat="1" ht="38.25" customHeight="1">
      <c r="A275" s="16" t="s">
        <v>615</v>
      </c>
      <c r="B275" s="206"/>
      <c r="C275" s="166"/>
      <c r="D275" s="203"/>
      <c r="E275" s="166">
        <v>49.3</v>
      </c>
      <c r="F275" s="82">
        <f t="shared" si="8"/>
        <v>49.3</v>
      </c>
      <c r="G275" s="420" t="e">
        <f t="shared" si="9"/>
        <v>#DIV/0!</v>
      </c>
    </row>
    <row r="276" spans="1:7" s="209" customFormat="1" ht="21.75" customHeight="1">
      <c r="A276" s="16" t="s">
        <v>616</v>
      </c>
      <c r="B276" s="206"/>
      <c r="C276" s="166"/>
      <c r="D276" s="203"/>
      <c r="E276" s="166">
        <v>6.3</v>
      </c>
      <c r="F276" s="82">
        <f t="shared" si="8"/>
        <v>6.3</v>
      </c>
      <c r="G276" s="420" t="e">
        <f t="shared" si="9"/>
        <v>#DIV/0!</v>
      </c>
    </row>
    <row r="277" spans="1:7" s="209" customFormat="1" ht="20.25" customHeight="1">
      <c r="A277" s="19" t="s">
        <v>617</v>
      </c>
      <c r="B277" s="206"/>
      <c r="C277" s="166"/>
      <c r="D277" s="203"/>
      <c r="E277" s="166">
        <v>52.5</v>
      </c>
      <c r="F277" s="82">
        <f t="shared" si="8"/>
        <v>52.5</v>
      </c>
      <c r="G277" s="420" t="e">
        <f t="shared" si="9"/>
        <v>#DIV/0!</v>
      </c>
    </row>
    <row r="278" spans="1:7" s="209" customFormat="1" ht="20.25" customHeight="1">
      <c r="A278" s="19" t="s">
        <v>588</v>
      </c>
      <c r="B278" s="206"/>
      <c r="C278" s="166"/>
      <c r="D278" s="203"/>
      <c r="E278" s="166">
        <v>3.2</v>
      </c>
      <c r="F278" s="82">
        <f t="shared" si="8"/>
        <v>3.2</v>
      </c>
      <c r="G278" s="420" t="e">
        <f t="shared" si="9"/>
        <v>#DIV/0!</v>
      </c>
    </row>
    <row r="279" spans="1:7" s="209" customFormat="1" ht="20.25" customHeight="1">
      <c r="A279" s="19" t="s">
        <v>589</v>
      </c>
      <c r="B279" s="206"/>
      <c r="C279" s="166"/>
      <c r="D279" s="203"/>
      <c r="E279" s="166">
        <v>8.1999999999999993</v>
      </c>
      <c r="F279" s="82">
        <f t="shared" si="8"/>
        <v>8.1999999999999993</v>
      </c>
      <c r="G279" s="420" t="e">
        <f t="shared" si="9"/>
        <v>#DIV/0!</v>
      </c>
    </row>
    <row r="280" spans="1:7" s="209" customFormat="1" ht="22.5" customHeight="1">
      <c r="A280" s="19" t="s">
        <v>590</v>
      </c>
      <c r="B280" s="206"/>
      <c r="C280" s="166"/>
      <c r="D280" s="203"/>
      <c r="E280" s="166">
        <v>3.7</v>
      </c>
      <c r="F280" s="82">
        <f t="shared" si="8"/>
        <v>3.7</v>
      </c>
      <c r="G280" s="420" t="e">
        <f t="shared" si="9"/>
        <v>#DIV/0!</v>
      </c>
    </row>
    <row r="281" spans="1:7" s="209" customFormat="1" ht="21.75" customHeight="1">
      <c r="A281" s="19" t="s">
        <v>628</v>
      </c>
      <c r="B281" s="206"/>
      <c r="C281" s="166"/>
      <c r="D281" s="203"/>
      <c r="E281" s="166">
        <v>41.6</v>
      </c>
      <c r="F281" s="82">
        <f t="shared" si="8"/>
        <v>41.6</v>
      </c>
      <c r="G281" s="420" t="e">
        <f t="shared" si="9"/>
        <v>#DIV/0!</v>
      </c>
    </row>
    <row r="282" spans="1:7" s="209" customFormat="1" ht="22.5" customHeight="1">
      <c r="A282" s="19" t="s">
        <v>627</v>
      </c>
      <c r="B282" s="206"/>
      <c r="C282" s="166"/>
      <c r="D282" s="203"/>
      <c r="E282" s="166">
        <v>8.6999999999999993</v>
      </c>
      <c r="F282" s="82">
        <f t="shared" si="8"/>
        <v>8.6999999999999993</v>
      </c>
      <c r="G282" s="420" t="e">
        <f t="shared" si="9"/>
        <v>#DIV/0!</v>
      </c>
    </row>
    <row r="283" spans="1:7" s="209" customFormat="1" ht="22.5" customHeight="1">
      <c r="A283" s="19" t="s">
        <v>591</v>
      </c>
      <c r="B283" s="206"/>
      <c r="C283" s="166"/>
      <c r="D283" s="203"/>
      <c r="E283" s="166">
        <v>10.5</v>
      </c>
      <c r="F283" s="82">
        <f t="shared" si="8"/>
        <v>10.5</v>
      </c>
      <c r="G283" s="420" t="e">
        <f t="shared" si="9"/>
        <v>#DIV/0!</v>
      </c>
    </row>
    <row r="284" spans="1:7" s="209" customFormat="1" ht="22.5" customHeight="1">
      <c r="A284" s="19" t="s">
        <v>695</v>
      </c>
      <c r="B284" s="206"/>
      <c r="C284" s="166"/>
      <c r="D284" s="203"/>
      <c r="E284" s="166">
        <v>40.200000000000003</v>
      </c>
      <c r="F284" s="82">
        <f t="shared" si="8"/>
        <v>40.200000000000003</v>
      </c>
      <c r="G284" s="420" t="e">
        <f t="shared" si="9"/>
        <v>#DIV/0!</v>
      </c>
    </row>
    <row r="285" spans="1:7" s="209" customFormat="1" ht="20.25" customHeight="1">
      <c r="A285" s="19" t="s">
        <v>592</v>
      </c>
      <c r="B285" s="206"/>
      <c r="C285" s="166"/>
      <c r="D285" s="203"/>
      <c r="E285" s="166">
        <v>7.6</v>
      </c>
      <c r="F285" s="82">
        <f t="shared" si="8"/>
        <v>7.6</v>
      </c>
      <c r="G285" s="420" t="e">
        <f t="shared" si="9"/>
        <v>#DIV/0!</v>
      </c>
    </row>
    <row r="286" spans="1:7" s="209" customFormat="1" ht="22.5" customHeight="1">
      <c r="A286" s="16" t="s">
        <v>593</v>
      </c>
      <c r="B286" s="206"/>
      <c r="C286" s="166"/>
      <c r="D286" s="203"/>
      <c r="E286" s="166">
        <v>8.6</v>
      </c>
      <c r="F286" s="82">
        <f t="shared" si="8"/>
        <v>8.6</v>
      </c>
      <c r="G286" s="420" t="e">
        <f t="shared" si="9"/>
        <v>#DIV/0!</v>
      </c>
    </row>
    <row r="287" spans="1:7" s="209" customFormat="1" ht="20.25" customHeight="1">
      <c r="A287" s="19" t="s">
        <v>626</v>
      </c>
      <c r="B287" s="206"/>
      <c r="C287" s="166"/>
      <c r="D287" s="203"/>
      <c r="E287" s="166">
        <v>12.4</v>
      </c>
      <c r="F287" s="82">
        <f t="shared" si="8"/>
        <v>12.4</v>
      </c>
      <c r="G287" s="420" t="e">
        <f t="shared" si="9"/>
        <v>#DIV/0!</v>
      </c>
    </row>
    <row r="288" spans="1:7" s="209" customFormat="1" ht="20.25" customHeight="1">
      <c r="A288" s="19" t="s">
        <v>625</v>
      </c>
      <c r="B288" s="206"/>
      <c r="C288" s="166"/>
      <c r="D288" s="203"/>
      <c r="E288" s="166">
        <v>37.4</v>
      </c>
      <c r="F288" s="82">
        <f t="shared" si="8"/>
        <v>37.4</v>
      </c>
      <c r="G288" s="420" t="e">
        <f t="shared" si="9"/>
        <v>#DIV/0!</v>
      </c>
    </row>
    <row r="289" spans="1:7" s="209" customFormat="1" ht="21" customHeight="1">
      <c r="A289" s="19" t="s">
        <v>594</v>
      </c>
      <c r="B289" s="206"/>
      <c r="C289" s="166"/>
      <c r="D289" s="203"/>
      <c r="E289" s="166">
        <v>6.4</v>
      </c>
      <c r="F289" s="82">
        <f t="shared" si="8"/>
        <v>6.4</v>
      </c>
      <c r="G289" s="420" t="e">
        <f t="shared" si="9"/>
        <v>#DIV/0!</v>
      </c>
    </row>
    <row r="290" spans="1:7" s="209" customFormat="1" ht="20.25" customHeight="1">
      <c r="A290" s="19" t="s">
        <v>624</v>
      </c>
      <c r="B290" s="206"/>
      <c r="C290" s="166"/>
      <c r="D290" s="203"/>
      <c r="E290" s="166">
        <v>58.1</v>
      </c>
      <c r="F290" s="82">
        <f t="shared" si="8"/>
        <v>58.1</v>
      </c>
      <c r="G290" s="420" t="e">
        <f t="shared" si="9"/>
        <v>#DIV/0!</v>
      </c>
    </row>
    <row r="291" spans="1:7" s="209" customFormat="1" ht="21.75" customHeight="1">
      <c r="A291" s="19" t="s">
        <v>623</v>
      </c>
      <c r="B291" s="206"/>
      <c r="C291" s="166"/>
      <c r="D291" s="203"/>
      <c r="E291" s="166">
        <v>14.4</v>
      </c>
      <c r="F291" s="82">
        <f t="shared" si="8"/>
        <v>14.4</v>
      </c>
      <c r="G291" s="420" t="e">
        <f t="shared" si="9"/>
        <v>#DIV/0!</v>
      </c>
    </row>
    <row r="292" spans="1:7" s="209" customFormat="1" ht="21" customHeight="1">
      <c r="A292" s="19" t="s">
        <v>622</v>
      </c>
      <c r="B292" s="206"/>
      <c r="C292" s="166"/>
      <c r="D292" s="203"/>
      <c r="E292" s="166">
        <v>33.6</v>
      </c>
      <c r="F292" s="82">
        <f t="shared" si="8"/>
        <v>33.6</v>
      </c>
      <c r="G292" s="420" t="e">
        <f t="shared" si="9"/>
        <v>#DIV/0!</v>
      </c>
    </row>
    <row r="293" spans="1:7" s="209" customFormat="1" ht="23.25" customHeight="1">
      <c r="A293" s="19" t="s">
        <v>621</v>
      </c>
      <c r="B293" s="206"/>
      <c r="C293" s="166"/>
      <c r="D293" s="203"/>
      <c r="E293" s="166">
        <v>112.3</v>
      </c>
      <c r="F293" s="82">
        <f t="shared" si="8"/>
        <v>112.3</v>
      </c>
      <c r="G293" s="420" t="e">
        <f t="shared" si="9"/>
        <v>#DIV/0!</v>
      </c>
    </row>
    <row r="294" spans="1:7" s="209" customFormat="1" ht="25.5" customHeight="1">
      <c r="A294" s="19" t="s">
        <v>595</v>
      </c>
      <c r="B294" s="206"/>
      <c r="C294" s="166"/>
      <c r="D294" s="203"/>
      <c r="E294" s="166">
        <v>10.199999999999999</v>
      </c>
      <c r="F294" s="82">
        <f t="shared" si="8"/>
        <v>10.199999999999999</v>
      </c>
      <c r="G294" s="420" t="e">
        <f t="shared" si="9"/>
        <v>#DIV/0!</v>
      </c>
    </row>
    <row r="295" spans="1:7" s="209" customFormat="1" ht="23.25" customHeight="1">
      <c r="A295" s="19" t="s">
        <v>620</v>
      </c>
      <c r="B295" s="206"/>
      <c r="C295" s="166"/>
      <c r="D295" s="203"/>
      <c r="E295" s="166">
        <v>54.6</v>
      </c>
      <c r="F295" s="82">
        <f t="shared" si="8"/>
        <v>54.6</v>
      </c>
      <c r="G295" s="420" t="e">
        <f t="shared" si="9"/>
        <v>#DIV/0!</v>
      </c>
    </row>
    <row r="296" spans="1:7" s="209" customFormat="1" ht="23.25" customHeight="1">
      <c r="A296" s="19" t="s">
        <v>619</v>
      </c>
      <c r="B296" s="206"/>
      <c r="C296" s="166"/>
      <c r="D296" s="203"/>
      <c r="E296" s="166">
        <v>7.9</v>
      </c>
      <c r="F296" s="82">
        <f t="shared" si="8"/>
        <v>7.9</v>
      </c>
      <c r="G296" s="420" t="e">
        <f t="shared" si="9"/>
        <v>#DIV/0!</v>
      </c>
    </row>
    <row r="297" spans="1:7" s="209" customFormat="1" ht="65.25" customHeight="1">
      <c r="A297" s="409" t="s">
        <v>62</v>
      </c>
      <c r="B297" s="412">
        <v>4050</v>
      </c>
      <c r="C297" s="410">
        <f>C298+C299</f>
        <v>0</v>
      </c>
      <c r="D297" s="410">
        <f>D298+D299</f>
        <v>4243.2</v>
      </c>
      <c r="E297" s="410">
        <f>E298+E299</f>
        <v>4157.8999999999996</v>
      </c>
      <c r="F297" s="407">
        <f t="shared" si="8"/>
        <v>-85.300000000000182</v>
      </c>
      <c r="G297" s="408">
        <f t="shared" si="9"/>
        <v>97.98972473604826</v>
      </c>
    </row>
    <row r="298" spans="1:7" s="209" customFormat="1" ht="83.25" customHeight="1">
      <c r="A298" s="16" t="s">
        <v>328</v>
      </c>
      <c r="B298" s="36"/>
      <c r="C298" s="166"/>
      <c r="D298" s="166">
        <v>2589.1999999999998</v>
      </c>
      <c r="E298" s="166">
        <f>1565.9+913</f>
        <v>2478.9</v>
      </c>
      <c r="F298" s="82">
        <f t="shared" si="8"/>
        <v>-110.29999999999973</v>
      </c>
      <c r="G298" s="165">
        <f t="shared" si="9"/>
        <v>95.739996910242553</v>
      </c>
    </row>
    <row r="299" spans="1:7" s="209" customFormat="1" ht="122.25" customHeight="1">
      <c r="A299" s="12" t="s">
        <v>535</v>
      </c>
      <c r="B299" s="36"/>
      <c r="C299" s="166"/>
      <c r="D299" s="166">
        <v>1654</v>
      </c>
      <c r="E299" s="166">
        <v>1679</v>
      </c>
      <c r="F299" s="82">
        <f t="shared" si="8"/>
        <v>25</v>
      </c>
      <c r="G299" s="165">
        <f t="shared" si="9"/>
        <v>101.51148730350666</v>
      </c>
    </row>
    <row r="300" spans="1:7" ht="32.25" customHeight="1">
      <c r="A300" s="409" t="s">
        <v>39</v>
      </c>
      <c r="B300" s="358">
        <v>4060</v>
      </c>
      <c r="C300" s="410">
        <f>SUM(C301:C308)</f>
        <v>14669.6</v>
      </c>
      <c r="D300" s="410">
        <f>SUM(D301:D308)</f>
        <v>25170.6</v>
      </c>
      <c r="E300" s="410">
        <f>SUM(E301:E308)</f>
        <v>15499.7</v>
      </c>
      <c r="F300" s="407">
        <f t="shared" si="8"/>
        <v>-9670.8999999999978</v>
      </c>
      <c r="G300" s="408">
        <f t="shared" si="9"/>
        <v>61.578587717416355</v>
      </c>
    </row>
    <row r="301" spans="1:7" ht="83.25" customHeight="1">
      <c r="A301" s="80" t="s">
        <v>520</v>
      </c>
      <c r="B301" s="36"/>
      <c r="C301" s="166">
        <v>6590</v>
      </c>
      <c r="D301" s="166">
        <v>14560.4</v>
      </c>
      <c r="E301" s="166">
        <v>7348.2</v>
      </c>
      <c r="F301" s="166">
        <f t="shared" si="8"/>
        <v>-7212.2</v>
      </c>
      <c r="G301" s="165">
        <f t="shared" si="9"/>
        <v>50.467020136809424</v>
      </c>
    </row>
    <row r="302" spans="1:7" ht="76.5" customHeight="1">
      <c r="A302" s="80" t="s">
        <v>521</v>
      </c>
      <c r="B302" s="36"/>
      <c r="C302" s="166">
        <v>4449.6000000000004</v>
      </c>
      <c r="D302" s="166">
        <v>5404.2</v>
      </c>
      <c r="E302" s="166">
        <v>4797.5</v>
      </c>
      <c r="F302" s="166">
        <f t="shared" si="8"/>
        <v>-606.69999999999982</v>
      </c>
      <c r="G302" s="165">
        <f t="shared" si="9"/>
        <v>88.773546500869699</v>
      </c>
    </row>
    <row r="303" spans="1:7" ht="137.25" customHeight="1">
      <c r="A303" s="404" t="s">
        <v>536</v>
      </c>
      <c r="B303" s="36"/>
      <c r="C303" s="166"/>
      <c r="D303" s="166">
        <v>2878.4</v>
      </c>
      <c r="E303" s="166">
        <v>2954.9</v>
      </c>
      <c r="F303" s="166">
        <f t="shared" si="8"/>
        <v>76.5</v>
      </c>
      <c r="G303" s="165">
        <f t="shared" si="9"/>
        <v>102.6577265147304</v>
      </c>
    </row>
    <row r="304" spans="1:7" ht="126.75" customHeight="1">
      <c r="A304" s="405" t="s">
        <v>537</v>
      </c>
      <c r="B304" s="36"/>
      <c r="C304" s="166"/>
      <c r="D304" s="166">
        <v>1977.6</v>
      </c>
      <c r="E304" s="166"/>
      <c r="F304" s="166">
        <f t="shared" si="8"/>
        <v>-1977.6</v>
      </c>
      <c r="G304" s="165">
        <f t="shared" si="9"/>
        <v>0</v>
      </c>
    </row>
    <row r="305" spans="1:7" ht="121.5" customHeight="1">
      <c r="A305" s="404" t="s">
        <v>538</v>
      </c>
      <c r="B305" s="36"/>
      <c r="C305" s="166"/>
      <c r="D305" s="166">
        <v>350</v>
      </c>
      <c r="E305" s="166">
        <f>350+49.1</f>
        <v>399.1</v>
      </c>
      <c r="F305" s="166">
        <f t="shared" si="8"/>
        <v>49.100000000000023</v>
      </c>
      <c r="G305" s="165">
        <f t="shared" si="9"/>
        <v>114.02857142857144</v>
      </c>
    </row>
    <row r="306" spans="1:7" ht="108" customHeight="1">
      <c r="A306" s="80" t="s">
        <v>522</v>
      </c>
      <c r="B306" s="36"/>
      <c r="C306" s="166">
        <v>214.9</v>
      </c>
      <c r="D306" s="166"/>
      <c r="E306" s="166"/>
      <c r="F306" s="166">
        <f t="shared" si="8"/>
        <v>0</v>
      </c>
      <c r="G306" s="420" t="e">
        <f t="shared" si="9"/>
        <v>#DIV/0!</v>
      </c>
    </row>
    <row r="307" spans="1:7" ht="84" customHeight="1">
      <c r="A307" s="44" t="s">
        <v>523</v>
      </c>
      <c r="B307" s="36"/>
      <c r="C307" s="166">
        <v>3377.6</v>
      </c>
      <c r="D307" s="166"/>
      <c r="E307" s="166"/>
      <c r="F307" s="166">
        <f t="shared" si="8"/>
        <v>0</v>
      </c>
      <c r="G307" s="420" t="e">
        <f t="shared" si="9"/>
        <v>#DIV/0!</v>
      </c>
    </row>
    <row r="308" spans="1:7" ht="96.75" customHeight="1">
      <c r="A308" s="12" t="s">
        <v>524</v>
      </c>
      <c r="B308" s="36"/>
      <c r="C308" s="166">
        <v>37.5</v>
      </c>
      <c r="D308" s="166"/>
      <c r="E308" s="166"/>
      <c r="F308" s="166">
        <f t="shared" si="8"/>
        <v>0</v>
      </c>
      <c r="G308" s="417" t="e">
        <f t="shared" si="9"/>
        <v>#DIV/0!</v>
      </c>
    </row>
    <row r="309" spans="1:7" ht="26.25" customHeight="1">
      <c r="A309" s="416" t="s">
        <v>207</v>
      </c>
      <c r="B309" s="212"/>
      <c r="C309" s="549"/>
      <c r="D309" s="549"/>
      <c r="E309" s="552" t="s">
        <v>180</v>
      </c>
      <c r="F309" s="552"/>
      <c r="G309" s="552"/>
    </row>
    <row r="310" spans="1:7">
      <c r="A310" s="213" t="s">
        <v>59</v>
      </c>
      <c r="B310" s="78"/>
      <c r="C310" s="550" t="s">
        <v>65</v>
      </c>
      <c r="D310" s="550"/>
      <c r="E310" s="328"/>
      <c r="F310" s="78" t="s">
        <v>17</v>
      </c>
    </row>
    <row r="311" spans="1:7">
      <c r="A311" s="214"/>
      <c r="C311" s="215"/>
      <c r="D311" s="216"/>
      <c r="E311" s="216"/>
      <c r="F311" s="216"/>
    </row>
    <row r="312" spans="1:7">
      <c r="A312" s="214"/>
      <c r="C312" s="215"/>
      <c r="D312" s="216"/>
      <c r="E312" s="216"/>
      <c r="F312" s="216"/>
    </row>
    <row r="313" spans="1:7">
      <c r="A313" s="214"/>
      <c r="C313" s="215"/>
      <c r="D313" s="216"/>
      <c r="E313" s="216"/>
      <c r="F313" s="216"/>
    </row>
    <row r="314" spans="1:7">
      <c r="A314" s="214"/>
      <c r="C314" s="215"/>
      <c r="D314" s="216"/>
      <c r="E314" s="216"/>
      <c r="F314" s="216"/>
    </row>
    <row r="315" spans="1:7">
      <c r="A315" s="214"/>
      <c r="C315" s="215"/>
      <c r="D315" s="216"/>
      <c r="E315" s="216"/>
      <c r="F315" s="216"/>
    </row>
    <row r="316" spans="1:7">
      <c r="A316" s="214"/>
      <c r="C316" s="215"/>
      <c r="D316" s="216"/>
      <c r="E316" s="216"/>
      <c r="F316" s="216"/>
    </row>
    <row r="317" spans="1:7">
      <c r="A317" s="214"/>
      <c r="C317" s="215"/>
      <c r="D317" s="216"/>
      <c r="E317" s="216"/>
      <c r="F317" s="216"/>
    </row>
    <row r="318" spans="1:7">
      <c r="A318" s="214"/>
      <c r="C318" s="215"/>
      <c r="D318" s="216"/>
      <c r="E318" s="216"/>
      <c r="F318" s="216"/>
    </row>
    <row r="319" spans="1:7">
      <c r="A319" s="214"/>
      <c r="C319" s="215"/>
      <c r="D319" s="216"/>
      <c r="E319" s="216"/>
      <c r="F319" s="216"/>
    </row>
    <row r="320" spans="1:7">
      <c r="A320" s="214"/>
      <c r="C320" s="215"/>
      <c r="D320" s="216"/>
      <c r="E320" s="216"/>
      <c r="F320" s="216"/>
    </row>
    <row r="321" spans="1:6">
      <c r="A321" s="214"/>
      <c r="C321" s="215"/>
      <c r="D321" s="216"/>
      <c r="E321" s="216"/>
      <c r="F321" s="216"/>
    </row>
    <row r="322" spans="1:6">
      <c r="A322" s="214"/>
      <c r="C322" s="215"/>
      <c r="D322" s="216"/>
      <c r="E322" s="216"/>
      <c r="F322" s="216"/>
    </row>
    <row r="323" spans="1:6">
      <c r="A323" s="214"/>
      <c r="C323" s="215"/>
      <c r="D323" s="216"/>
      <c r="E323" s="216"/>
      <c r="F323" s="216"/>
    </row>
    <row r="324" spans="1:6">
      <c r="A324" s="214"/>
      <c r="C324" s="215"/>
      <c r="D324" s="216"/>
      <c r="E324" s="216"/>
      <c r="F324" s="216"/>
    </row>
    <row r="325" spans="1:6">
      <c r="A325" s="214"/>
      <c r="C325" s="215"/>
      <c r="D325" s="216"/>
      <c r="E325" s="216"/>
      <c r="F325" s="216"/>
    </row>
    <row r="326" spans="1:6">
      <c r="A326" s="214"/>
      <c r="C326" s="215"/>
      <c r="D326" s="216"/>
      <c r="E326" s="216"/>
      <c r="F326" s="216"/>
    </row>
    <row r="327" spans="1:6">
      <c r="A327" s="214"/>
      <c r="C327" s="215"/>
      <c r="D327" s="216"/>
      <c r="E327" s="216"/>
      <c r="F327" s="216"/>
    </row>
    <row r="328" spans="1:6">
      <c r="A328" s="214"/>
      <c r="C328" s="215"/>
      <c r="D328" s="216"/>
      <c r="E328" s="216"/>
      <c r="F328" s="216"/>
    </row>
    <row r="329" spans="1:6">
      <c r="A329" s="214"/>
      <c r="C329" s="215"/>
      <c r="D329" s="216"/>
      <c r="E329" s="216"/>
      <c r="F329" s="216"/>
    </row>
    <row r="330" spans="1:6">
      <c r="A330" s="214"/>
      <c r="C330" s="215"/>
      <c r="D330" s="216"/>
      <c r="E330" s="216"/>
      <c r="F330" s="216"/>
    </row>
    <row r="331" spans="1:6">
      <c r="A331" s="214"/>
      <c r="C331" s="215"/>
      <c r="D331" s="216"/>
      <c r="E331" s="216"/>
      <c r="F331" s="216"/>
    </row>
    <row r="332" spans="1:6">
      <c r="A332" s="214"/>
      <c r="C332" s="215"/>
      <c r="D332" s="216"/>
      <c r="E332" s="216"/>
      <c r="F332" s="216"/>
    </row>
    <row r="333" spans="1:6">
      <c r="A333" s="214"/>
      <c r="C333" s="215"/>
      <c r="D333" s="216"/>
      <c r="E333" s="216"/>
      <c r="F333" s="216"/>
    </row>
    <row r="334" spans="1:6">
      <c r="A334" s="214"/>
      <c r="C334" s="215"/>
      <c r="D334" s="216"/>
      <c r="E334" s="216"/>
      <c r="F334" s="216"/>
    </row>
    <row r="335" spans="1:6">
      <c r="A335" s="214"/>
      <c r="C335" s="215"/>
      <c r="D335" s="216"/>
      <c r="E335" s="216"/>
      <c r="F335" s="216"/>
    </row>
    <row r="336" spans="1:6">
      <c r="A336" s="214"/>
      <c r="C336" s="215"/>
      <c r="D336" s="216"/>
      <c r="E336" s="216"/>
      <c r="F336" s="216"/>
    </row>
    <row r="337" spans="1:6">
      <c r="A337" s="214"/>
      <c r="C337" s="215"/>
      <c r="D337" s="216"/>
      <c r="E337" s="216"/>
      <c r="F337" s="216"/>
    </row>
    <row r="338" spans="1:6">
      <c r="A338" s="214"/>
      <c r="C338" s="215"/>
      <c r="D338" s="216"/>
      <c r="E338" s="216"/>
      <c r="F338" s="216"/>
    </row>
    <row r="339" spans="1:6">
      <c r="A339" s="214"/>
      <c r="C339" s="215"/>
      <c r="D339" s="216"/>
      <c r="E339" s="216"/>
      <c r="F339" s="216"/>
    </row>
    <row r="340" spans="1:6">
      <c r="A340" s="214"/>
      <c r="C340" s="215"/>
      <c r="D340" s="216"/>
      <c r="E340" s="216"/>
      <c r="F340" s="216"/>
    </row>
    <row r="341" spans="1:6">
      <c r="A341" s="214"/>
      <c r="C341" s="215"/>
      <c r="D341" s="216"/>
      <c r="E341" s="216"/>
      <c r="F341" s="216"/>
    </row>
    <row r="342" spans="1:6">
      <c r="A342" s="214"/>
      <c r="C342" s="215"/>
      <c r="D342" s="216"/>
      <c r="E342" s="216"/>
      <c r="F342" s="216"/>
    </row>
    <row r="343" spans="1:6">
      <c r="A343" s="214"/>
      <c r="C343" s="215"/>
      <c r="D343" s="216"/>
      <c r="E343" s="216"/>
      <c r="F343" s="216"/>
    </row>
    <row r="344" spans="1:6">
      <c r="A344" s="214"/>
      <c r="C344" s="215"/>
      <c r="D344" s="216"/>
      <c r="E344" s="216"/>
      <c r="F344" s="216"/>
    </row>
    <row r="345" spans="1:6">
      <c r="A345" s="214"/>
      <c r="C345" s="215"/>
      <c r="D345" s="216"/>
      <c r="E345" s="216"/>
      <c r="F345" s="216"/>
    </row>
    <row r="346" spans="1:6">
      <c r="A346" s="214"/>
      <c r="C346" s="215"/>
      <c r="D346" s="216"/>
      <c r="E346" s="216"/>
      <c r="F346" s="216"/>
    </row>
    <row r="347" spans="1:6">
      <c r="A347" s="214"/>
      <c r="C347" s="215"/>
      <c r="D347" s="216"/>
      <c r="E347" s="216"/>
      <c r="F347" s="216"/>
    </row>
    <row r="348" spans="1:6">
      <c r="A348" s="214"/>
      <c r="C348" s="215"/>
      <c r="D348" s="216"/>
      <c r="E348" s="216"/>
      <c r="F348" s="216"/>
    </row>
    <row r="349" spans="1:6">
      <c r="A349" s="214"/>
      <c r="C349" s="215"/>
      <c r="D349" s="216"/>
      <c r="E349" s="216"/>
      <c r="F349" s="216"/>
    </row>
    <row r="350" spans="1:6">
      <c r="A350" s="214"/>
      <c r="C350" s="215"/>
      <c r="D350" s="216"/>
      <c r="E350" s="216"/>
      <c r="F350" s="216"/>
    </row>
    <row r="351" spans="1:6">
      <c r="A351" s="214"/>
      <c r="C351" s="215"/>
      <c r="D351" s="216"/>
      <c r="E351" s="216"/>
      <c r="F351" s="216"/>
    </row>
    <row r="352" spans="1:6">
      <c r="A352" s="214"/>
      <c r="C352" s="215"/>
      <c r="D352" s="216"/>
      <c r="E352" s="216"/>
      <c r="F352" s="216"/>
    </row>
    <row r="353" spans="1:6">
      <c r="A353" s="214"/>
      <c r="C353" s="215"/>
      <c r="D353" s="216"/>
      <c r="E353" s="216"/>
      <c r="F353" s="216"/>
    </row>
    <row r="354" spans="1:6">
      <c r="A354" s="214"/>
      <c r="C354" s="215"/>
      <c r="D354" s="216"/>
      <c r="E354" s="216"/>
      <c r="F354" s="216"/>
    </row>
    <row r="355" spans="1:6">
      <c r="A355" s="214"/>
      <c r="C355" s="215"/>
      <c r="D355" s="216"/>
      <c r="E355" s="216"/>
      <c r="F355" s="216"/>
    </row>
    <row r="356" spans="1:6">
      <c r="A356" s="214"/>
      <c r="C356" s="215"/>
      <c r="D356" s="216"/>
      <c r="E356" s="216"/>
      <c r="F356" s="216"/>
    </row>
    <row r="357" spans="1:6">
      <c r="A357" s="214"/>
      <c r="C357" s="215"/>
      <c r="D357" s="216"/>
      <c r="E357" s="216"/>
      <c r="F357" s="216"/>
    </row>
    <row r="358" spans="1:6">
      <c r="A358" s="214"/>
      <c r="C358" s="215"/>
      <c r="D358" s="216"/>
      <c r="E358" s="216"/>
      <c r="F358" s="216"/>
    </row>
    <row r="359" spans="1:6">
      <c r="A359" s="214"/>
      <c r="C359" s="215"/>
      <c r="D359" s="216"/>
      <c r="E359" s="216"/>
      <c r="F359" s="216"/>
    </row>
    <row r="360" spans="1:6">
      <c r="A360" s="214"/>
      <c r="C360" s="215"/>
      <c r="D360" s="216"/>
      <c r="E360" s="216"/>
      <c r="F360" s="216"/>
    </row>
    <row r="361" spans="1:6">
      <c r="A361" s="214"/>
      <c r="C361" s="215"/>
      <c r="D361" s="216"/>
      <c r="E361" s="216"/>
      <c r="F361" s="216"/>
    </row>
    <row r="362" spans="1:6">
      <c r="A362" s="214"/>
      <c r="C362" s="215"/>
      <c r="D362" s="216"/>
      <c r="E362" s="216"/>
      <c r="F362" s="216"/>
    </row>
    <row r="363" spans="1:6">
      <c r="A363" s="214"/>
      <c r="C363" s="215"/>
      <c r="D363" s="216"/>
      <c r="E363" s="216"/>
      <c r="F363" s="216"/>
    </row>
    <row r="364" spans="1:6">
      <c r="A364" s="214"/>
      <c r="C364" s="215"/>
      <c r="D364" s="216"/>
      <c r="E364" s="216"/>
      <c r="F364" s="216"/>
    </row>
    <row r="365" spans="1:6">
      <c r="A365" s="214"/>
    </row>
    <row r="366" spans="1:6">
      <c r="A366" s="217"/>
    </row>
    <row r="367" spans="1:6">
      <c r="A367" s="217"/>
    </row>
    <row r="368" spans="1:6">
      <c r="A368" s="217"/>
    </row>
    <row r="369" spans="1:1">
      <c r="A369" s="217"/>
    </row>
    <row r="370" spans="1:1">
      <c r="A370" s="217"/>
    </row>
    <row r="371" spans="1:1">
      <c r="A371" s="217"/>
    </row>
    <row r="372" spans="1:1">
      <c r="A372" s="217"/>
    </row>
    <row r="373" spans="1:1">
      <c r="A373" s="217"/>
    </row>
    <row r="374" spans="1:1">
      <c r="A374" s="217"/>
    </row>
    <row r="375" spans="1:1">
      <c r="A375" s="217"/>
    </row>
    <row r="376" spans="1:1">
      <c r="A376" s="217"/>
    </row>
    <row r="377" spans="1:1">
      <c r="A377" s="217"/>
    </row>
    <row r="378" spans="1:1">
      <c r="A378" s="217"/>
    </row>
    <row r="379" spans="1:1">
      <c r="A379" s="217"/>
    </row>
    <row r="380" spans="1:1">
      <c r="A380" s="217"/>
    </row>
    <row r="381" spans="1:1">
      <c r="A381" s="217"/>
    </row>
    <row r="382" spans="1:1">
      <c r="A382" s="217"/>
    </row>
    <row r="383" spans="1:1">
      <c r="A383" s="217"/>
    </row>
    <row r="384" spans="1:1">
      <c r="A384" s="217"/>
    </row>
    <row r="385" spans="1:1">
      <c r="A385" s="217"/>
    </row>
    <row r="386" spans="1:1">
      <c r="A386" s="217"/>
    </row>
    <row r="387" spans="1:1">
      <c r="A387" s="217"/>
    </row>
    <row r="388" spans="1:1">
      <c r="A388" s="217"/>
    </row>
    <row r="389" spans="1:1">
      <c r="A389" s="217"/>
    </row>
    <row r="390" spans="1:1">
      <c r="A390" s="217"/>
    </row>
    <row r="391" spans="1:1">
      <c r="A391" s="217"/>
    </row>
    <row r="392" spans="1:1">
      <c r="A392" s="217"/>
    </row>
    <row r="393" spans="1:1">
      <c r="A393" s="217"/>
    </row>
    <row r="394" spans="1:1">
      <c r="A394" s="217"/>
    </row>
    <row r="395" spans="1:1">
      <c r="A395" s="217"/>
    </row>
    <row r="396" spans="1:1">
      <c r="A396" s="217"/>
    </row>
    <row r="397" spans="1:1">
      <c r="A397" s="217"/>
    </row>
    <row r="398" spans="1:1">
      <c r="A398" s="217"/>
    </row>
    <row r="399" spans="1:1">
      <c r="A399" s="217"/>
    </row>
    <row r="400" spans="1:1">
      <c r="A400" s="217"/>
    </row>
    <row r="401" spans="1:1">
      <c r="A401" s="217"/>
    </row>
    <row r="402" spans="1:1">
      <c r="A402" s="217"/>
    </row>
    <row r="403" spans="1:1">
      <c r="A403" s="217"/>
    </row>
    <row r="404" spans="1:1">
      <c r="A404" s="217"/>
    </row>
    <row r="405" spans="1:1">
      <c r="A405" s="217"/>
    </row>
    <row r="406" spans="1:1">
      <c r="A406" s="217"/>
    </row>
    <row r="407" spans="1:1">
      <c r="A407" s="217"/>
    </row>
    <row r="408" spans="1:1">
      <c r="A408" s="217"/>
    </row>
    <row r="409" spans="1:1">
      <c r="A409" s="217"/>
    </row>
    <row r="410" spans="1:1">
      <c r="A410" s="217"/>
    </row>
    <row r="411" spans="1:1">
      <c r="A411" s="217"/>
    </row>
    <row r="412" spans="1:1">
      <c r="A412" s="217"/>
    </row>
    <row r="413" spans="1:1">
      <c r="A413" s="217"/>
    </row>
    <row r="414" spans="1:1">
      <c r="A414" s="217"/>
    </row>
    <row r="415" spans="1:1">
      <c r="A415" s="217"/>
    </row>
    <row r="416" spans="1:1">
      <c r="A416" s="217"/>
    </row>
    <row r="417" spans="1:1">
      <c r="A417" s="217"/>
    </row>
    <row r="418" spans="1:1">
      <c r="A418" s="217"/>
    </row>
    <row r="419" spans="1:1">
      <c r="A419" s="217"/>
    </row>
    <row r="420" spans="1:1">
      <c r="A420" s="217"/>
    </row>
    <row r="421" spans="1:1">
      <c r="A421" s="217"/>
    </row>
    <row r="422" spans="1:1">
      <c r="A422" s="217"/>
    </row>
    <row r="423" spans="1:1">
      <c r="A423" s="217"/>
    </row>
    <row r="424" spans="1:1">
      <c r="A424" s="217"/>
    </row>
    <row r="425" spans="1:1">
      <c r="A425" s="217"/>
    </row>
    <row r="426" spans="1:1">
      <c r="A426" s="217"/>
    </row>
    <row r="427" spans="1:1">
      <c r="A427" s="217"/>
    </row>
    <row r="428" spans="1:1">
      <c r="A428" s="217"/>
    </row>
    <row r="429" spans="1:1">
      <c r="A429" s="217"/>
    </row>
    <row r="430" spans="1:1">
      <c r="A430" s="217"/>
    </row>
    <row r="431" spans="1:1">
      <c r="A431" s="217"/>
    </row>
    <row r="432" spans="1:1">
      <c r="A432" s="217"/>
    </row>
    <row r="433" spans="1:1">
      <c r="A433" s="217"/>
    </row>
    <row r="434" spans="1:1">
      <c r="A434" s="217"/>
    </row>
    <row r="435" spans="1:1">
      <c r="A435" s="217"/>
    </row>
    <row r="436" spans="1:1">
      <c r="A436" s="217"/>
    </row>
    <row r="437" spans="1:1">
      <c r="A437" s="217"/>
    </row>
    <row r="438" spans="1:1">
      <c r="A438" s="217"/>
    </row>
    <row r="439" spans="1:1">
      <c r="A439" s="217"/>
    </row>
    <row r="440" spans="1:1">
      <c r="A440" s="217"/>
    </row>
    <row r="441" spans="1:1">
      <c r="A441" s="217"/>
    </row>
    <row r="442" spans="1:1">
      <c r="A442" s="217"/>
    </row>
    <row r="443" spans="1:1">
      <c r="A443" s="217"/>
    </row>
    <row r="444" spans="1:1">
      <c r="A444" s="217"/>
    </row>
    <row r="445" spans="1:1">
      <c r="A445" s="217"/>
    </row>
    <row r="446" spans="1:1">
      <c r="A446" s="217"/>
    </row>
    <row r="447" spans="1:1">
      <c r="A447" s="217"/>
    </row>
    <row r="448" spans="1:1">
      <c r="A448" s="217"/>
    </row>
    <row r="449" spans="1:1">
      <c r="A449" s="217"/>
    </row>
    <row r="450" spans="1:1">
      <c r="A450" s="217"/>
    </row>
    <row r="451" spans="1:1">
      <c r="A451" s="217"/>
    </row>
    <row r="452" spans="1:1">
      <c r="A452" s="217"/>
    </row>
    <row r="453" spans="1:1">
      <c r="A453" s="217"/>
    </row>
    <row r="454" spans="1:1">
      <c r="A454" s="217"/>
    </row>
    <row r="455" spans="1:1">
      <c r="A455" s="217"/>
    </row>
    <row r="456" spans="1:1">
      <c r="A456" s="217"/>
    </row>
    <row r="457" spans="1:1">
      <c r="A457" s="217"/>
    </row>
    <row r="458" spans="1:1">
      <c r="A458" s="217"/>
    </row>
    <row r="459" spans="1:1">
      <c r="A459" s="217"/>
    </row>
    <row r="460" spans="1:1">
      <c r="A460" s="217"/>
    </row>
    <row r="461" spans="1:1">
      <c r="A461" s="217"/>
    </row>
    <row r="462" spans="1:1">
      <c r="A462" s="217"/>
    </row>
    <row r="463" spans="1:1">
      <c r="A463" s="217"/>
    </row>
    <row r="464" spans="1:1">
      <c r="A464" s="217"/>
    </row>
    <row r="465" spans="1:1">
      <c r="A465" s="217"/>
    </row>
    <row r="466" spans="1:1">
      <c r="A466" s="217"/>
    </row>
    <row r="467" spans="1:1">
      <c r="A467" s="217"/>
    </row>
    <row r="468" spans="1:1">
      <c r="A468" s="217"/>
    </row>
    <row r="469" spans="1:1">
      <c r="A469" s="217"/>
    </row>
    <row r="470" spans="1:1">
      <c r="A470" s="217"/>
    </row>
    <row r="471" spans="1:1">
      <c r="A471" s="217"/>
    </row>
    <row r="472" spans="1:1">
      <c r="A472" s="217"/>
    </row>
    <row r="473" spans="1:1">
      <c r="A473" s="217"/>
    </row>
    <row r="474" spans="1:1">
      <c r="A474" s="217"/>
    </row>
    <row r="475" spans="1:1">
      <c r="A475" s="217"/>
    </row>
    <row r="476" spans="1:1">
      <c r="A476" s="217"/>
    </row>
    <row r="477" spans="1:1">
      <c r="A477" s="217"/>
    </row>
    <row r="478" spans="1:1">
      <c r="A478" s="217"/>
    </row>
    <row r="479" spans="1:1">
      <c r="A479" s="217"/>
    </row>
    <row r="480" spans="1:1">
      <c r="A480" s="217"/>
    </row>
    <row r="481" spans="1:1">
      <c r="A481" s="217"/>
    </row>
    <row r="482" spans="1:1">
      <c r="A482" s="217"/>
    </row>
    <row r="483" spans="1:1">
      <c r="A483" s="217"/>
    </row>
    <row r="484" spans="1:1">
      <c r="A484" s="217"/>
    </row>
    <row r="485" spans="1:1">
      <c r="A485" s="217"/>
    </row>
    <row r="486" spans="1:1">
      <c r="A486" s="217"/>
    </row>
    <row r="487" spans="1:1">
      <c r="A487" s="217"/>
    </row>
    <row r="488" spans="1:1">
      <c r="A488" s="217"/>
    </row>
    <row r="489" spans="1:1">
      <c r="A489" s="217"/>
    </row>
    <row r="490" spans="1:1">
      <c r="A490" s="217"/>
    </row>
    <row r="491" spans="1:1">
      <c r="A491" s="217"/>
    </row>
    <row r="492" spans="1:1">
      <c r="A492" s="217"/>
    </row>
    <row r="493" spans="1:1">
      <c r="A493" s="217"/>
    </row>
    <row r="494" spans="1:1">
      <c r="A494" s="217"/>
    </row>
    <row r="495" spans="1:1">
      <c r="A495" s="217"/>
    </row>
    <row r="496" spans="1:1">
      <c r="A496" s="217"/>
    </row>
    <row r="497" spans="1:1">
      <c r="A497" s="217"/>
    </row>
    <row r="498" spans="1:1">
      <c r="A498" s="217"/>
    </row>
    <row r="499" spans="1:1">
      <c r="A499" s="217"/>
    </row>
    <row r="500" spans="1:1">
      <c r="A500" s="217"/>
    </row>
    <row r="501" spans="1:1">
      <c r="A501" s="217"/>
    </row>
    <row r="502" spans="1:1">
      <c r="A502" s="217"/>
    </row>
    <row r="503" spans="1:1">
      <c r="A503" s="217"/>
    </row>
    <row r="504" spans="1:1">
      <c r="A504" s="217"/>
    </row>
    <row r="505" spans="1:1">
      <c r="A505" s="217"/>
    </row>
    <row r="506" spans="1:1">
      <c r="A506" s="217"/>
    </row>
    <row r="507" spans="1:1">
      <c r="A507" s="217"/>
    </row>
    <row r="508" spans="1:1">
      <c r="A508" s="217"/>
    </row>
    <row r="509" spans="1:1">
      <c r="A509" s="217"/>
    </row>
    <row r="510" spans="1:1">
      <c r="A510" s="217"/>
    </row>
    <row r="511" spans="1:1">
      <c r="A511" s="217"/>
    </row>
    <row r="512" spans="1:1">
      <c r="A512" s="217"/>
    </row>
    <row r="513" spans="1:1">
      <c r="A513" s="217"/>
    </row>
    <row r="514" spans="1:1">
      <c r="A514" s="217"/>
    </row>
    <row r="515" spans="1:1">
      <c r="A515" s="217"/>
    </row>
    <row r="516" spans="1:1">
      <c r="A516" s="217"/>
    </row>
    <row r="517" spans="1:1">
      <c r="A517" s="217"/>
    </row>
    <row r="518" spans="1:1">
      <c r="A518" s="217"/>
    </row>
    <row r="519" spans="1:1">
      <c r="A519" s="217"/>
    </row>
    <row r="520" spans="1:1">
      <c r="A520" s="217"/>
    </row>
    <row r="521" spans="1:1">
      <c r="A521" s="217"/>
    </row>
    <row r="522" spans="1:1">
      <c r="A522" s="217"/>
    </row>
    <row r="523" spans="1:1">
      <c r="A523" s="217"/>
    </row>
    <row r="524" spans="1:1">
      <c r="A524" s="217"/>
    </row>
    <row r="525" spans="1:1">
      <c r="A525" s="217"/>
    </row>
    <row r="526" spans="1:1">
      <c r="A526" s="217"/>
    </row>
    <row r="527" spans="1:1">
      <c r="A527" s="217"/>
    </row>
    <row r="528" spans="1:1">
      <c r="A528" s="217"/>
    </row>
    <row r="529" spans="1:1">
      <c r="A529" s="217"/>
    </row>
    <row r="530" spans="1:1">
      <c r="A530" s="217"/>
    </row>
    <row r="531" spans="1:1">
      <c r="A531" s="217"/>
    </row>
    <row r="532" spans="1:1">
      <c r="A532" s="217"/>
    </row>
  </sheetData>
  <mergeCells count="4">
    <mergeCell ref="C309:D309"/>
    <mergeCell ref="C310:D310"/>
    <mergeCell ref="A1:F1"/>
    <mergeCell ref="E309:G309"/>
  </mergeCells>
  <hyperlinks>
    <hyperlink ref="A301" r:id="rId1" display="https://www.dzo.com.ua/tenders/20078403"/>
    <hyperlink ref="A307" r:id="rId2" display="https://www.dzo.com.ua/tenders/20078403"/>
    <hyperlink ref="A303" r:id="rId3" display="https://www.dzo.com.ua/tenders/20078403"/>
    <hyperlink ref="A305" r:id="rId4" display="https://www.dzo.com.ua/tenders/20078403"/>
  </hyperlinks>
  <pageMargins left="0.39370078740157483" right="0.39370078740157483" top="0.78740157480314965" bottom="0.39370078740157483" header="0.19685039370078741" footer="0.19685039370078741"/>
  <pageSetup paperSize="9" scale="91" fitToHeight="22" orientation="landscape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U247"/>
  <sheetViews>
    <sheetView view="pageBreakPreview" topLeftCell="A224" zoomScale="50" zoomScaleNormal="60" zoomScaleSheetLayoutView="50" workbookViewId="0">
      <selection activeCell="K234" sqref="K234:M234"/>
    </sheetView>
  </sheetViews>
  <sheetFormatPr defaultRowHeight="18.75"/>
  <cols>
    <col min="1" max="1" width="9.85546875" style="422" customWidth="1"/>
    <col min="2" max="2" width="26.140625" style="422" customWidth="1"/>
    <col min="3" max="3" width="11.28515625" style="422" customWidth="1"/>
    <col min="4" max="4" width="15.28515625" style="422" customWidth="1"/>
    <col min="5" max="10" width="18.42578125" style="422" customWidth="1"/>
    <col min="11" max="11" width="18.7109375" style="422" customWidth="1"/>
    <col min="12" max="12" width="19" style="422" customWidth="1"/>
    <col min="13" max="13" width="18.42578125" style="422" customWidth="1"/>
    <col min="14" max="14" width="18.42578125" style="423" customWidth="1"/>
    <col min="15" max="15" width="19.42578125" style="423" customWidth="1"/>
    <col min="16" max="16" width="19.42578125" style="490" customWidth="1"/>
    <col min="17" max="17" width="12.7109375" style="422" bestFit="1" customWidth="1"/>
    <col min="18" max="18" width="11.140625" style="422" bestFit="1" customWidth="1"/>
    <col min="19" max="20" width="9.140625" style="422"/>
    <col min="21" max="21" width="15.5703125" style="422" bestFit="1" customWidth="1"/>
    <col min="22" max="16384" width="9.140625" style="422"/>
  </cols>
  <sheetData>
    <row r="1" spans="1:17">
      <c r="A1" s="346"/>
      <c r="B1" s="194"/>
      <c r="C1" s="194"/>
      <c r="D1" s="194"/>
      <c r="E1" s="346"/>
      <c r="F1" s="346"/>
      <c r="G1" s="346"/>
      <c r="H1" s="346"/>
      <c r="I1" s="421"/>
      <c r="J1" s="421"/>
      <c r="P1" s="489"/>
    </row>
    <row r="2" spans="1:17" s="424" customFormat="1" ht="42.75" customHeight="1">
      <c r="B2" s="186"/>
      <c r="C2" s="186"/>
      <c r="D2" s="589" t="s">
        <v>208</v>
      </c>
      <c r="E2" s="589"/>
      <c r="F2" s="589"/>
      <c r="G2" s="589"/>
      <c r="H2" s="589"/>
      <c r="I2" s="589"/>
      <c r="J2" s="589"/>
      <c r="K2" s="589"/>
      <c r="L2" s="589"/>
      <c r="M2" s="589"/>
      <c r="P2" s="491"/>
    </row>
    <row r="3" spans="1:17">
      <c r="A3" s="425"/>
      <c r="B3" s="425"/>
      <c r="C3" s="425"/>
      <c r="D3" s="425"/>
      <c r="E3" s="426"/>
      <c r="F3" s="426"/>
      <c r="G3" s="426"/>
      <c r="H3" s="426"/>
      <c r="I3" s="426"/>
      <c r="J3" s="426"/>
      <c r="P3" s="489" t="s">
        <v>50</v>
      </c>
    </row>
    <row r="4" spans="1:17" ht="79.5" customHeight="1">
      <c r="A4" s="583" t="s">
        <v>8</v>
      </c>
      <c r="B4" s="585" t="s">
        <v>20</v>
      </c>
      <c r="C4" s="585"/>
      <c r="D4" s="585"/>
      <c r="E4" s="583" t="s">
        <v>130</v>
      </c>
      <c r="F4" s="583"/>
      <c r="G4" s="583" t="s">
        <v>329</v>
      </c>
      <c r="H4" s="583"/>
      <c r="I4" s="583" t="s">
        <v>131</v>
      </c>
      <c r="J4" s="583"/>
      <c r="K4" s="583" t="s">
        <v>241</v>
      </c>
      <c r="L4" s="583"/>
      <c r="M4" s="583" t="s">
        <v>132</v>
      </c>
      <c r="N4" s="583"/>
      <c r="O4" s="583"/>
      <c r="P4" s="583"/>
    </row>
    <row r="5" spans="1:17" ht="85.5" customHeight="1">
      <c r="A5" s="583"/>
      <c r="B5" s="585"/>
      <c r="C5" s="585"/>
      <c r="D5" s="585"/>
      <c r="E5" s="427" t="s">
        <v>539</v>
      </c>
      <c r="F5" s="427" t="s">
        <v>540</v>
      </c>
      <c r="G5" s="427" t="s">
        <v>539</v>
      </c>
      <c r="H5" s="427" t="s">
        <v>540</v>
      </c>
      <c r="I5" s="427" t="s">
        <v>539</v>
      </c>
      <c r="J5" s="427" t="s">
        <v>540</v>
      </c>
      <c r="K5" s="427" t="s">
        <v>539</v>
      </c>
      <c r="L5" s="427" t="s">
        <v>540</v>
      </c>
      <c r="M5" s="427" t="s">
        <v>539</v>
      </c>
      <c r="N5" s="427" t="s">
        <v>540</v>
      </c>
      <c r="O5" s="174" t="s">
        <v>107</v>
      </c>
      <c r="P5" s="478" t="s">
        <v>110</v>
      </c>
    </row>
    <row r="6" spans="1:17" ht="30" customHeight="1">
      <c r="A6" s="174">
        <v>1</v>
      </c>
      <c r="B6" s="583">
        <v>2</v>
      </c>
      <c r="C6" s="583"/>
      <c r="D6" s="583"/>
      <c r="E6" s="174">
        <v>4</v>
      </c>
      <c r="F6" s="174">
        <v>5</v>
      </c>
      <c r="G6" s="174">
        <v>7</v>
      </c>
      <c r="H6" s="174">
        <v>8</v>
      </c>
      <c r="I6" s="174">
        <v>10</v>
      </c>
      <c r="J6" s="174">
        <v>11</v>
      </c>
      <c r="K6" s="428">
        <v>13</v>
      </c>
      <c r="L6" s="428">
        <v>14</v>
      </c>
      <c r="M6" s="428">
        <v>16</v>
      </c>
      <c r="N6" s="428">
        <v>17</v>
      </c>
      <c r="O6" s="428">
        <v>18</v>
      </c>
      <c r="P6" s="492">
        <v>19</v>
      </c>
    </row>
    <row r="7" spans="1:17" s="423" customFormat="1" ht="30" customHeight="1">
      <c r="A7" s="190">
        <v>1</v>
      </c>
      <c r="B7" s="590" t="s">
        <v>541</v>
      </c>
      <c r="C7" s="591"/>
      <c r="D7" s="592"/>
      <c r="E7" s="167">
        <f t="shared" ref="E7:F7" si="0">E8</f>
        <v>0</v>
      </c>
      <c r="F7" s="167">
        <f t="shared" si="0"/>
        <v>0</v>
      </c>
      <c r="G7" s="167">
        <f>G8</f>
        <v>140</v>
      </c>
      <c r="H7" s="167">
        <f t="shared" ref="H7:L7" si="1">H8</f>
        <v>1738.3</v>
      </c>
      <c r="I7" s="167">
        <f t="shared" si="1"/>
        <v>0</v>
      </c>
      <c r="J7" s="167">
        <f t="shared" si="1"/>
        <v>0</v>
      </c>
      <c r="K7" s="167">
        <f t="shared" si="1"/>
        <v>0</v>
      </c>
      <c r="L7" s="167">
        <f t="shared" si="1"/>
        <v>45</v>
      </c>
      <c r="M7" s="191">
        <f t="shared" ref="M7:N22" si="2">E7+G7+I7+K7</f>
        <v>140</v>
      </c>
      <c r="N7" s="191">
        <f t="shared" si="2"/>
        <v>1783.3</v>
      </c>
      <c r="O7" s="191">
        <f t="shared" ref="O7:O8" si="3">N7-M7</f>
        <v>1643.3</v>
      </c>
      <c r="P7" s="480">
        <f t="shared" ref="P7:P8" si="4">(N7/M7)*100</f>
        <v>1273.7857142857142</v>
      </c>
    </row>
    <row r="8" spans="1:17" ht="93.75" customHeight="1">
      <c r="A8" s="174"/>
      <c r="B8" s="562" t="s">
        <v>611</v>
      </c>
      <c r="C8" s="563"/>
      <c r="D8" s="564"/>
      <c r="E8" s="83"/>
      <c r="F8" s="83"/>
      <c r="G8" s="83">
        <v>140</v>
      </c>
      <c r="H8" s="83">
        <v>1738.3</v>
      </c>
      <c r="I8" s="83"/>
      <c r="J8" s="83"/>
      <c r="K8" s="227"/>
      <c r="L8" s="227">
        <v>45</v>
      </c>
      <c r="M8" s="227">
        <f t="shared" si="2"/>
        <v>140</v>
      </c>
      <c r="N8" s="227">
        <f t="shared" si="2"/>
        <v>1783.3</v>
      </c>
      <c r="O8" s="191">
        <f t="shared" si="3"/>
        <v>1643.3</v>
      </c>
      <c r="P8" s="480">
        <f t="shared" si="4"/>
        <v>1273.7857142857142</v>
      </c>
    </row>
    <row r="9" spans="1:17" ht="48" customHeight="1">
      <c r="A9" s="290">
        <v>2</v>
      </c>
      <c r="B9" s="577" t="s">
        <v>94</v>
      </c>
      <c r="C9" s="578"/>
      <c r="D9" s="578"/>
      <c r="E9" s="291">
        <f>SUM(E10:E70)</f>
        <v>0</v>
      </c>
      <c r="F9" s="291">
        <f>SUM(F10:F70)</f>
        <v>0</v>
      </c>
      <c r="G9" s="291">
        <f>SUM(G10:G70)</f>
        <v>1910</v>
      </c>
      <c r="H9" s="291">
        <f t="shared" ref="H9:K9" si="5">SUM(H10:H70)</f>
        <v>2252.8000000000002</v>
      </c>
      <c r="I9" s="291">
        <f t="shared" si="5"/>
        <v>0</v>
      </c>
      <c r="J9" s="291">
        <f t="shared" si="5"/>
        <v>224.9</v>
      </c>
      <c r="K9" s="291">
        <f t="shared" si="5"/>
        <v>0</v>
      </c>
      <c r="L9" s="291">
        <f>SUM(L10:L72)</f>
        <v>9832.7999999999975</v>
      </c>
      <c r="M9" s="291">
        <f t="shared" si="2"/>
        <v>1910</v>
      </c>
      <c r="N9" s="291">
        <f>F9+H9+J9+L9</f>
        <v>12310.499999999998</v>
      </c>
      <c r="O9" s="291">
        <f>N9-M9</f>
        <v>10400.499999999998</v>
      </c>
      <c r="P9" s="484">
        <f>(N9/M9)*100</f>
        <v>644.52879581151819</v>
      </c>
      <c r="Q9" s="429"/>
    </row>
    <row r="10" spans="1:17" ht="42" customHeight="1">
      <c r="A10" s="190"/>
      <c r="B10" s="562" t="s">
        <v>426</v>
      </c>
      <c r="C10" s="563"/>
      <c r="D10" s="564"/>
      <c r="E10" s="83"/>
      <c r="F10" s="83"/>
      <c r="G10" s="83">
        <v>93.8</v>
      </c>
      <c r="H10" s="83"/>
      <c r="I10" s="83"/>
      <c r="J10" s="83"/>
      <c r="K10" s="83"/>
      <c r="L10" s="83"/>
      <c r="M10" s="83">
        <f t="shared" si="2"/>
        <v>93.8</v>
      </c>
      <c r="N10" s="167">
        <f t="shared" si="2"/>
        <v>0</v>
      </c>
      <c r="O10" s="167">
        <f t="shared" ref="O10:O75" si="6">N10-M10</f>
        <v>-93.8</v>
      </c>
      <c r="P10" s="477">
        <f t="shared" ref="P10:P75" si="7">(N10/M10)*100</f>
        <v>0</v>
      </c>
    </row>
    <row r="11" spans="1:17" ht="30.75" customHeight="1">
      <c r="A11" s="190"/>
      <c r="B11" s="562" t="s">
        <v>322</v>
      </c>
      <c r="C11" s="563"/>
      <c r="D11" s="564"/>
      <c r="E11" s="83"/>
      <c r="F11" s="83"/>
      <c r="G11" s="83">
        <v>75</v>
      </c>
      <c r="H11" s="83"/>
      <c r="I11" s="83"/>
      <c r="J11" s="83"/>
      <c r="K11" s="83"/>
      <c r="L11" s="83"/>
      <c r="M11" s="83">
        <f t="shared" si="2"/>
        <v>75</v>
      </c>
      <c r="N11" s="167">
        <f t="shared" si="2"/>
        <v>0</v>
      </c>
      <c r="O11" s="167">
        <f t="shared" si="6"/>
        <v>-75</v>
      </c>
      <c r="P11" s="477">
        <f t="shared" si="7"/>
        <v>0</v>
      </c>
    </row>
    <row r="12" spans="1:17" ht="31.5" customHeight="1">
      <c r="A12" s="190"/>
      <c r="B12" s="562" t="s">
        <v>323</v>
      </c>
      <c r="C12" s="563"/>
      <c r="D12" s="564"/>
      <c r="E12" s="83"/>
      <c r="F12" s="83"/>
      <c r="G12" s="83">
        <v>41.2</v>
      </c>
      <c r="H12" s="83"/>
      <c r="I12" s="83"/>
      <c r="J12" s="83"/>
      <c r="K12" s="83"/>
      <c r="L12" s="83"/>
      <c r="M12" s="83">
        <f t="shared" si="2"/>
        <v>41.2</v>
      </c>
      <c r="N12" s="167">
        <f t="shared" si="2"/>
        <v>0</v>
      </c>
      <c r="O12" s="167">
        <f t="shared" si="6"/>
        <v>-41.2</v>
      </c>
      <c r="P12" s="477">
        <f t="shared" si="7"/>
        <v>0</v>
      </c>
    </row>
    <row r="13" spans="1:17" ht="48" customHeight="1">
      <c r="A13" s="190"/>
      <c r="B13" s="562" t="s">
        <v>454</v>
      </c>
      <c r="C13" s="563"/>
      <c r="D13" s="564"/>
      <c r="E13" s="83"/>
      <c r="F13" s="83"/>
      <c r="G13" s="83">
        <v>1700</v>
      </c>
      <c r="H13" s="83"/>
      <c r="I13" s="83"/>
      <c r="J13" s="83"/>
      <c r="K13" s="83"/>
      <c r="L13" s="83"/>
      <c r="M13" s="83">
        <f t="shared" si="2"/>
        <v>1700</v>
      </c>
      <c r="N13" s="167">
        <f t="shared" si="2"/>
        <v>0</v>
      </c>
      <c r="O13" s="167">
        <f t="shared" si="6"/>
        <v>-1700</v>
      </c>
      <c r="P13" s="477">
        <f t="shared" si="7"/>
        <v>0</v>
      </c>
    </row>
    <row r="14" spans="1:17" ht="48" customHeight="1">
      <c r="A14" s="190"/>
      <c r="B14" s="556" t="s">
        <v>312</v>
      </c>
      <c r="C14" s="557"/>
      <c r="D14" s="558"/>
      <c r="E14" s="83"/>
      <c r="F14" s="83"/>
      <c r="G14" s="83"/>
      <c r="H14" s="83"/>
      <c r="I14" s="83"/>
      <c r="J14" s="83">
        <v>29.9</v>
      </c>
      <c r="K14" s="83"/>
      <c r="L14" s="83"/>
      <c r="M14" s="167">
        <f t="shared" si="2"/>
        <v>0</v>
      </c>
      <c r="N14" s="83">
        <f t="shared" si="2"/>
        <v>29.9</v>
      </c>
      <c r="O14" s="167">
        <f t="shared" si="6"/>
        <v>29.9</v>
      </c>
      <c r="P14" s="483" t="e">
        <f t="shared" si="7"/>
        <v>#DIV/0!</v>
      </c>
    </row>
    <row r="15" spans="1:17" ht="48" customHeight="1">
      <c r="A15" s="190"/>
      <c r="B15" s="556" t="s">
        <v>313</v>
      </c>
      <c r="C15" s="557"/>
      <c r="D15" s="558"/>
      <c r="E15" s="83"/>
      <c r="F15" s="83"/>
      <c r="G15" s="83"/>
      <c r="H15" s="83"/>
      <c r="I15" s="83"/>
      <c r="J15" s="83">
        <v>195</v>
      </c>
      <c r="K15" s="83"/>
      <c r="L15" s="83"/>
      <c r="M15" s="167">
        <f t="shared" si="2"/>
        <v>0</v>
      </c>
      <c r="N15" s="83">
        <f t="shared" si="2"/>
        <v>195</v>
      </c>
      <c r="O15" s="167">
        <f t="shared" si="6"/>
        <v>195</v>
      </c>
      <c r="P15" s="483" t="e">
        <f t="shared" si="7"/>
        <v>#DIV/0!</v>
      </c>
    </row>
    <row r="16" spans="1:17" ht="48" customHeight="1">
      <c r="A16" s="190"/>
      <c r="B16" s="556" t="s">
        <v>418</v>
      </c>
      <c r="C16" s="557"/>
      <c r="D16" s="558"/>
      <c r="E16" s="83"/>
      <c r="F16" s="83"/>
      <c r="G16" s="83"/>
      <c r="H16" s="83"/>
      <c r="I16" s="83"/>
      <c r="J16" s="83"/>
      <c r="K16" s="83"/>
      <c r="L16" s="83">
        <v>250.5</v>
      </c>
      <c r="M16" s="167">
        <f t="shared" si="2"/>
        <v>0</v>
      </c>
      <c r="N16" s="83">
        <f t="shared" si="2"/>
        <v>250.5</v>
      </c>
      <c r="O16" s="167">
        <f t="shared" si="6"/>
        <v>250.5</v>
      </c>
      <c r="P16" s="483" t="e">
        <f t="shared" si="7"/>
        <v>#DIV/0!</v>
      </c>
    </row>
    <row r="17" spans="1:16" ht="34.5" customHeight="1">
      <c r="A17" s="190"/>
      <c r="B17" s="556" t="s">
        <v>314</v>
      </c>
      <c r="C17" s="557"/>
      <c r="D17" s="558"/>
      <c r="E17" s="83"/>
      <c r="F17" s="83"/>
      <c r="G17" s="83"/>
      <c r="H17" s="83"/>
      <c r="I17" s="83"/>
      <c r="J17" s="83"/>
      <c r="K17" s="83"/>
      <c r="L17" s="83">
        <v>42.1</v>
      </c>
      <c r="M17" s="167">
        <f t="shared" si="2"/>
        <v>0</v>
      </c>
      <c r="N17" s="83">
        <f t="shared" si="2"/>
        <v>42.1</v>
      </c>
      <c r="O17" s="167">
        <f t="shared" si="6"/>
        <v>42.1</v>
      </c>
      <c r="P17" s="483" t="e">
        <f t="shared" si="7"/>
        <v>#DIV/0!</v>
      </c>
    </row>
    <row r="18" spans="1:16" ht="32.25" customHeight="1">
      <c r="A18" s="190"/>
      <c r="B18" s="556" t="s">
        <v>315</v>
      </c>
      <c r="C18" s="557"/>
      <c r="D18" s="558"/>
      <c r="E18" s="83"/>
      <c r="F18" s="83"/>
      <c r="G18" s="83"/>
      <c r="H18" s="83"/>
      <c r="I18" s="83"/>
      <c r="J18" s="83"/>
      <c r="K18" s="83"/>
      <c r="L18" s="83">
        <v>32.9</v>
      </c>
      <c r="M18" s="167">
        <f t="shared" si="2"/>
        <v>0</v>
      </c>
      <c r="N18" s="83">
        <f t="shared" si="2"/>
        <v>32.9</v>
      </c>
      <c r="O18" s="167">
        <f t="shared" si="6"/>
        <v>32.9</v>
      </c>
      <c r="P18" s="483" t="e">
        <f t="shared" si="7"/>
        <v>#DIV/0!</v>
      </c>
    </row>
    <row r="19" spans="1:16" ht="34.5" customHeight="1">
      <c r="A19" s="190"/>
      <c r="B19" s="556" t="s">
        <v>316</v>
      </c>
      <c r="C19" s="557"/>
      <c r="D19" s="558"/>
      <c r="E19" s="83"/>
      <c r="F19" s="83"/>
      <c r="G19" s="83"/>
      <c r="H19" s="83"/>
      <c r="I19" s="83"/>
      <c r="J19" s="83"/>
      <c r="K19" s="83"/>
      <c r="L19" s="83">
        <v>48.7</v>
      </c>
      <c r="M19" s="167">
        <f t="shared" si="2"/>
        <v>0</v>
      </c>
      <c r="N19" s="83">
        <f t="shared" si="2"/>
        <v>48.7</v>
      </c>
      <c r="O19" s="167">
        <f t="shared" si="6"/>
        <v>48.7</v>
      </c>
      <c r="P19" s="483" t="e">
        <f t="shared" si="7"/>
        <v>#DIV/0!</v>
      </c>
    </row>
    <row r="20" spans="1:16" ht="63" customHeight="1">
      <c r="A20" s="190"/>
      <c r="B20" s="556" t="s">
        <v>317</v>
      </c>
      <c r="C20" s="557"/>
      <c r="D20" s="558"/>
      <c r="E20" s="83"/>
      <c r="F20" s="83"/>
      <c r="G20" s="83"/>
      <c r="H20" s="83"/>
      <c r="I20" s="83"/>
      <c r="J20" s="83"/>
      <c r="K20" s="83"/>
      <c r="L20" s="83">
        <v>1621.6</v>
      </c>
      <c r="M20" s="167">
        <f t="shared" si="2"/>
        <v>0</v>
      </c>
      <c r="N20" s="83">
        <f t="shared" si="2"/>
        <v>1621.6</v>
      </c>
      <c r="O20" s="167">
        <f t="shared" si="6"/>
        <v>1621.6</v>
      </c>
      <c r="P20" s="483" t="e">
        <f t="shared" si="7"/>
        <v>#DIV/0!</v>
      </c>
    </row>
    <row r="21" spans="1:16" ht="105" customHeight="1">
      <c r="A21" s="190"/>
      <c r="B21" s="556" t="s">
        <v>318</v>
      </c>
      <c r="C21" s="557"/>
      <c r="D21" s="558"/>
      <c r="E21" s="83"/>
      <c r="F21" s="83"/>
      <c r="G21" s="83"/>
      <c r="H21" s="83"/>
      <c r="I21" s="83"/>
      <c r="J21" s="83"/>
      <c r="K21" s="83"/>
      <c r="L21" s="83">
        <v>1666</v>
      </c>
      <c r="M21" s="167">
        <f t="shared" si="2"/>
        <v>0</v>
      </c>
      <c r="N21" s="83">
        <f t="shared" si="2"/>
        <v>1666</v>
      </c>
      <c r="O21" s="167">
        <f t="shared" si="6"/>
        <v>1666</v>
      </c>
      <c r="P21" s="483" t="e">
        <f t="shared" si="7"/>
        <v>#DIV/0!</v>
      </c>
    </row>
    <row r="22" spans="1:16" ht="48" customHeight="1">
      <c r="A22" s="190"/>
      <c r="B22" s="556" t="s">
        <v>319</v>
      </c>
      <c r="C22" s="557"/>
      <c r="D22" s="558"/>
      <c r="E22" s="83"/>
      <c r="F22" s="83"/>
      <c r="G22" s="83"/>
      <c r="H22" s="83"/>
      <c r="I22" s="83"/>
      <c r="J22" s="83"/>
      <c r="K22" s="83"/>
      <c r="L22" s="83">
        <v>331</v>
      </c>
      <c r="M22" s="167">
        <f t="shared" si="2"/>
        <v>0</v>
      </c>
      <c r="N22" s="83">
        <f t="shared" si="2"/>
        <v>331</v>
      </c>
      <c r="O22" s="167">
        <f t="shared" si="6"/>
        <v>331</v>
      </c>
      <c r="P22" s="483" t="e">
        <f t="shared" si="7"/>
        <v>#DIV/0!</v>
      </c>
    </row>
    <row r="23" spans="1:16" ht="48" customHeight="1">
      <c r="A23" s="190"/>
      <c r="B23" s="556" t="s">
        <v>320</v>
      </c>
      <c r="C23" s="557"/>
      <c r="D23" s="558"/>
      <c r="E23" s="83"/>
      <c r="F23" s="83"/>
      <c r="G23" s="83"/>
      <c r="H23" s="83"/>
      <c r="I23" s="83"/>
      <c r="J23" s="83"/>
      <c r="K23" s="83"/>
      <c r="L23" s="83">
        <v>49.1</v>
      </c>
      <c r="M23" s="167">
        <f t="shared" ref="M23:M88" si="8">E23+G23+I23+K23</f>
        <v>0</v>
      </c>
      <c r="N23" s="83">
        <f t="shared" ref="N23:N88" si="9">F23+H23+J23+L23</f>
        <v>49.1</v>
      </c>
      <c r="O23" s="167">
        <f t="shared" si="6"/>
        <v>49.1</v>
      </c>
      <c r="P23" s="483" t="e">
        <f t="shared" si="7"/>
        <v>#DIV/0!</v>
      </c>
    </row>
    <row r="24" spans="1:16" ht="35.25" customHeight="1">
      <c r="A24" s="190"/>
      <c r="B24" s="556" t="s">
        <v>321</v>
      </c>
      <c r="C24" s="557"/>
      <c r="D24" s="558"/>
      <c r="E24" s="83"/>
      <c r="F24" s="83"/>
      <c r="G24" s="83"/>
      <c r="H24" s="83"/>
      <c r="I24" s="83"/>
      <c r="J24" s="83"/>
      <c r="K24" s="83"/>
      <c r="L24" s="83">
        <v>56.4</v>
      </c>
      <c r="M24" s="167">
        <f t="shared" si="8"/>
        <v>0</v>
      </c>
      <c r="N24" s="83">
        <f t="shared" si="9"/>
        <v>56.4</v>
      </c>
      <c r="O24" s="167">
        <f t="shared" si="6"/>
        <v>56.4</v>
      </c>
      <c r="P24" s="483" t="e">
        <f t="shared" si="7"/>
        <v>#DIV/0!</v>
      </c>
    </row>
    <row r="25" spans="1:16" ht="35.25" customHeight="1">
      <c r="A25" s="190"/>
      <c r="B25" s="556" t="s">
        <v>322</v>
      </c>
      <c r="C25" s="557"/>
      <c r="D25" s="558"/>
      <c r="E25" s="83"/>
      <c r="F25" s="83"/>
      <c r="G25" s="83"/>
      <c r="H25" s="83">
        <v>75</v>
      </c>
      <c r="I25" s="83"/>
      <c r="J25" s="83"/>
      <c r="K25" s="83"/>
      <c r="L25" s="83"/>
      <c r="M25" s="167">
        <f t="shared" si="8"/>
        <v>0</v>
      </c>
      <c r="N25" s="83">
        <f t="shared" si="9"/>
        <v>75</v>
      </c>
      <c r="O25" s="167">
        <f t="shared" si="6"/>
        <v>75</v>
      </c>
      <c r="P25" s="483" t="e">
        <f t="shared" si="7"/>
        <v>#DIV/0!</v>
      </c>
    </row>
    <row r="26" spans="1:16" ht="35.25" customHeight="1">
      <c r="A26" s="190"/>
      <c r="B26" s="556" t="s">
        <v>323</v>
      </c>
      <c r="C26" s="557"/>
      <c r="D26" s="558"/>
      <c r="E26" s="83"/>
      <c r="F26" s="83"/>
      <c r="G26" s="83"/>
      <c r="H26" s="83">
        <v>41.2</v>
      </c>
      <c r="I26" s="83"/>
      <c r="J26" s="83"/>
      <c r="K26" s="83"/>
      <c r="L26" s="83"/>
      <c r="M26" s="167">
        <f t="shared" si="8"/>
        <v>0</v>
      </c>
      <c r="N26" s="83">
        <f t="shared" si="9"/>
        <v>41.2</v>
      </c>
      <c r="O26" s="167">
        <f t="shared" si="6"/>
        <v>41.2</v>
      </c>
      <c r="P26" s="483" t="e">
        <f t="shared" si="7"/>
        <v>#DIV/0!</v>
      </c>
    </row>
    <row r="27" spans="1:16" ht="48" customHeight="1">
      <c r="A27" s="190"/>
      <c r="B27" s="556" t="s">
        <v>542</v>
      </c>
      <c r="C27" s="557"/>
      <c r="D27" s="558"/>
      <c r="E27" s="83"/>
      <c r="F27" s="83"/>
      <c r="G27" s="83"/>
      <c r="H27" s="83">
        <v>1700</v>
      </c>
      <c r="I27" s="83"/>
      <c r="J27" s="83"/>
      <c r="K27" s="83"/>
      <c r="L27" s="83"/>
      <c r="M27" s="167">
        <f t="shared" si="8"/>
        <v>0</v>
      </c>
      <c r="N27" s="83">
        <f t="shared" si="9"/>
        <v>1700</v>
      </c>
      <c r="O27" s="167">
        <f t="shared" si="6"/>
        <v>1700</v>
      </c>
      <c r="P27" s="483" t="e">
        <f t="shared" si="7"/>
        <v>#DIV/0!</v>
      </c>
    </row>
    <row r="28" spans="1:16" ht="48" customHeight="1">
      <c r="A28" s="190"/>
      <c r="B28" s="556" t="s">
        <v>433</v>
      </c>
      <c r="C28" s="557"/>
      <c r="D28" s="558"/>
      <c r="E28" s="83"/>
      <c r="F28" s="83"/>
      <c r="G28" s="83"/>
      <c r="H28" s="83"/>
      <c r="I28" s="83"/>
      <c r="J28" s="83"/>
      <c r="K28" s="83"/>
      <c r="L28" s="83">
        <v>35.4</v>
      </c>
      <c r="M28" s="167">
        <f t="shared" si="8"/>
        <v>0</v>
      </c>
      <c r="N28" s="83">
        <f t="shared" si="9"/>
        <v>35.4</v>
      </c>
      <c r="O28" s="167">
        <f t="shared" si="6"/>
        <v>35.4</v>
      </c>
      <c r="P28" s="483" t="e">
        <f t="shared" si="7"/>
        <v>#DIV/0!</v>
      </c>
    </row>
    <row r="29" spans="1:16" ht="33" customHeight="1">
      <c r="A29" s="190"/>
      <c r="B29" s="556" t="s">
        <v>324</v>
      </c>
      <c r="C29" s="557"/>
      <c r="D29" s="558"/>
      <c r="E29" s="83"/>
      <c r="F29" s="83"/>
      <c r="G29" s="83"/>
      <c r="H29" s="83"/>
      <c r="I29" s="83"/>
      <c r="J29" s="83"/>
      <c r="K29" s="83"/>
      <c r="L29" s="83">
        <v>780</v>
      </c>
      <c r="M29" s="167">
        <f t="shared" si="8"/>
        <v>0</v>
      </c>
      <c r="N29" s="83">
        <f t="shared" si="9"/>
        <v>780</v>
      </c>
      <c r="O29" s="167">
        <f t="shared" si="6"/>
        <v>780</v>
      </c>
      <c r="P29" s="483" t="e">
        <f t="shared" si="7"/>
        <v>#DIV/0!</v>
      </c>
    </row>
    <row r="30" spans="1:16" ht="25.5" customHeight="1">
      <c r="A30" s="190"/>
      <c r="B30" s="556" t="s">
        <v>325</v>
      </c>
      <c r="C30" s="557"/>
      <c r="D30" s="558"/>
      <c r="E30" s="83"/>
      <c r="F30" s="83"/>
      <c r="G30" s="83"/>
      <c r="H30" s="83"/>
      <c r="I30" s="83"/>
      <c r="J30" s="83"/>
      <c r="K30" s="83"/>
      <c r="L30" s="83">
        <v>34.4</v>
      </c>
      <c r="M30" s="167">
        <f t="shared" si="8"/>
        <v>0</v>
      </c>
      <c r="N30" s="83">
        <f t="shared" si="9"/>
        <v>34.4</v>
      </c>
      <c r="O30" s="167">
        <f t="shared" si="6"/>
        <v>34.4</v>
      </c>
      <c r="P30" s="483" t="e">
        <f t="shared" si="7"/>
        <v>#DIV/0!</v>
      </c>
    </row>
    <row r="31" spans="1:16" ht="46.5" customHeight="1">
      <c r="A31" s="190"/>
      <c r="B31" s="556" t="s">
        <v>326</v>
      </c>
      <c r="C31" s="557"/>
      <c r="D31" s="558"/>
      <c r="E31" s="83"/>
      <c r="F31" s="83"/>
      <c r="G31" s="83"/>
      <c r="H31" s="83"/>
      <c r="I31" s="83"/>
      <c r="J31" s="83"/>
      <c r="K31" s="83"/>
      <c r="L31" s="83">
        <v>44.9</v>
      </c>
      <c r="M31" s="167">
        <f t="shared" si="8"/>
        <v>0</v>
      </c>
      <c r="N31" s="83">
        <f t="shared" si="9"/>
        <v>44.9</v>
      </c>
      <c r="O31" s="167">
        <f t="shared" si="6"/>
        <v>44.9</v>
      </c>
      <c r="P31" s="483" t="e">
        <f t="shared" si="7"/>
        <v>#DIV/0!</v>
      </c>
    </row>
    <row r="32" spans="1:16" ht="33" customHeight="1">
      <c r="A32" s="190"/>
      <c r="B32" s="556" t="s">
        <v>419</v>
      </c>
      <c r="C32" s="557"/>
      <c r="D32" s="558"/>
      <c r="E32" s="83"/>
      <c r="F32" s="83"/>
      <c r="G32" s="83"/>
      <c r="H32" s="83"/>
      <c r="I32" s="83"/>
      <c r="J32" s="83"/>
      <c r="K32" s="83"/>
      <c r="L32" s="83">
        <v>20.399999999999999</v>
      </c>
      <c r="M32" s="167">
        <f t="shared" si="8"/>
        <v>0</v>
      </c>
      <c r="N32" s="83">
        <f t="shared" si="9"/>
        <v>20.399999999999999</v>
      </c>
      <c r="O32" s="167">
        <f t="shared" si="6"/>
        <v>20.399999999999999</v>
      </c>
      <c r="P32" s="483" t="e">
        <f t="shared" si="7"/>
        <v>#DIV/0!</v>
      </c>
    </row>
    <row r="33" spans="1:16" ht="33" customHeight="1">
      <c r="A33" s="190"/>
      <c r="B33" s="556" t="s">
        <v>420</v>
      </c>
      <c r="C33" s="557"/>
      <c r="D33" s="558"/>
      <c r="E33" s="83"/>
      <c r="F33" s="83"/>
      <c r="G33" s="83"/>
      <c r="H33" s="83"/>
      <c r="I33" s="83"/>
      <c r="J33" s="83"/>
      <c r="K33" s="83"/>
      <c r="L33" s="83">
        <v>23.5</v>
      </c>
      <c r="M33" s="167">
        <f t="shared" si="8"/>
        <v>0</v>
      </c>
      <c r="N33" s="83">
        <f t="shared" si="9"/>
        <v>23.5</v>
      </c>
      <c r="O33" s="167">
        <f t="shared" si="6"/>
        <v>23.5</v>
      </c>
      <c r="P33" s="483" t="e">
        <f t="shared" si="7"/>
        <v>#DIV/0!</v>
      </c>
    </row>
    <row r="34" spans="1:16" ht="43.5" customHeight="1">
      <c r="A34" s="190"/>
      <c r="B34" s="556" t="s">
        <v>421</v>
      </c>
      <c r="C34" s="557"/>
      <c r="D34" s="558"/>
      <c r="E34" s="83"/>
      <c r="F34" s="83"/>
      <c r="G34" s="83"/>
      <c r="H34" s="83"/>
      <c r="I34" s="83"/>
      <c r="J34" s="83"/>
      <c r="K34" s="83"/>
      <c r="L34" s="83">
        <v>78.8</v>
      </c>
      <c r="M34" s="167">
        <f t="shared" si="8"/>
        <v>0</v>
      </c>
      <c r="N34" s="83">
        <f t="shared" si="9"/>
        <v>78.8</v>
      </c>
      <c r="O34" s="167">
        <f t="shared" si="6"/>
        <v>78.8</v>
      </c>
      <c r="P34" s="483" t="e">
        <f t="shared" si="7"/>
        <v>#DIV/0!</v>
      </c>
    </row>
    <row r="35" spans="1:16" ht="42.75" customHeight="1">
      <c r="A35" s="190"/>
      <c r="B35" s="556" t="s">
        <v>422</v>
      </c>
      <c r="C35" s="557"/>
      <c r="D35" s="558"/>
      <c r="E35" s="83"/>
      <c r="F35" s="83"/>
      <c r="G35" s="83"/>
      <c r="H35" s="83"/>
      <c r="I35" s="83"/>
      <c r="J35" s="83"/>
      <c r="K35" s="83"/>
      <c r="L35" s="83">
        <v>33.5</v>
      </c>
      <c r="M35" s="167">
        <f t="shared" si="8"/>
        <v>0</v>
      </c>
      <c r="N35" s="83">
        <f t="shared" si="9"/>
        <v>33.5</v>
      </c>
      <c r="O35" s="167">
        <f t="shared" si="6"/>
        <v>33.5</v>
      </c>
      <c r="P35" s="483" t="e">
        <f t="shared" si="7"/>
        <v>#DIV/0!</v>
      </c>
    </row>
    <row r="36" spans="1:16" ht="33" customHeight="1">
      <c r="A36" s="190"/>
      <c r="B36" s="556" t="s">
        <v>423</v>
      </c>
      <c r="C36" s="557"/>
      <c r="D36" s="558"/>
      <c r="E36" s="83"/>
      <c r="F36" s="83"/>
      <c r="G36" s="83"/>
      <c r="H36" s="83"/>
      <c r="I36" s="83"/>
      <c r="J36" s="83"/>
      <c r="K36" s="83"/>
      <c r="L36" s="83">
        <v>165.2</v>
      </c>
      <c r="M36" s="167">
        <f t="shared" si="8"/>
        <v>0</v>
      </c>
      <c r="N36" s="83">
        <f t="shared" si="9"/>
        <v>165.2</v>
      </c>
      <c r="O36" s="167">
        <f t="shared" si="6"/>
        <v>165.2</v>
      </c>
      <c r="P36" s="483" t="e">
        <f t="shared" si="7"/>
        <v>#DIV/0!</v>
      </c>
    </row>
    <row r="37" spans="1:16" ht="42.75" customHeight="1">
      <c r="A37" s="190"/>
      <c r="B37" s="556" t="s">
        <v>426</v>
      </c>
      <c r="C37" s="557"/>
      <c r="D37" s="558"/>
      <c r="E37" s="83"/>
      <c r="F37" s="83"/>
      <c r="G37" s="83"/>
      <c r="H37" s="83">
        <v>93.8</v>
      </c>
      <c r="I37" s="83"/>
      <c r="J37" s="83"/>
      <c r="K37" s="83"/>
      <c r="L37" s="83"/>
      <c r="M37" s="167">
        <f t="shared" si="8"/>
        <v>0</v>
      </c>
      <c r="N37" s="83">
        <f t="shared" si="9"/>
        <v>93.8</v>
      </c>
      <c r="O37" s="167">
        <f t="shared" si="6"/>
        <v>93.8</v>
      </c>
      <c r="P37" s="483" t="e">
        <f t="shared" si="7"/>
        <v>#DIV/0!</v>
      </c>
    </row>
    <row r="38" spans="1:16" ht="85.5" customHeight="1">
      <c r="A38" s="190"/>
      <c r="B38" s="556" t="s">
        <v>427</v>
      </c>
      <c r="C38" s="557"/>
      <c r="D38" s="558"/>
      <c r="E38" s="83"/>
      <c r="F38" s="83"/>
      <c r="G38" s="83"/>
      <c r="H38" s="83"/>
      <c r="I38" s="83"/>
      <c r="J38" s="83"/>
      <c r="K38" s="83"/>
      <c r="L38" s="83">
        <v>346</v>
      </c>
      <c r="M38" s="167">
        <f t="shared" si="8"/>
        <v>0</v>
      </c>
      <c r="N38" s="83">
        <f t="shared" si="9"/>
        <v>346</v>
      </c>
      <c r="O38" s="167">
        <f t="shared" si="6"/>
        <v>346</v>
      </c>
      <c r="P38" s="483" t="e">
        <f t="shared" si="7"/>
        <v>#DIV/0!</v>
      </c>
    </row>
    <row r="39" spans="1:16" ht="33.75" customHeight="1">
      <c r="A39" s="190"/>
      <c r="B39" s="556" t="s">
        <v>428</v>
      </c>
      <c r="C39" s="557"/>
      <c r="D39" s="558"/>
      <c r="E39" s="83"/>
      <c r="F39" s="83"/>
      <c r="G39" s="83"/>
      <c r="H39" s="83">
        <v>36.4</v>
      </c>
      <c r="I39" s="83"/>
      <c r="J39" s="83"/>
      <c r="K39" s="83"/>
      <c r="L39" s="83"/>
      <c r="M39" s="167">
        <f t="shared" si="8"/>
        <v>0</v>
      </c>
      <c r="N39" s="83">
        <f t="shared" si="9"/>
        <v>36.4</v>
      </c>
      <c r="O39" s="167">
        <f t="shared" si="6"/>
        <v>36.4</v>
      </c>
      <c r="P39" s="483" t="e">
        <f t="shared" si="7"/>
        <v>#DIV/0!</v>
      </c>
    </row>
    <row r="40" spans="1:16" ht="39" customHeight="1">
      <c r="A40" s="190"/>
      <c r="B40" s="556" t="s">
        <v>429</v>
      </c>
      <c r="C40" s="557"/>
      <c r="D40" s="558"/>
      <c r="E40" s="83"/>
      <c r="F40" s="83"/>
      <c r="G40" s="83"/>
      <c r="H40" s="83">
        <v>129.6</v>
      </c>
      <c r="I40" s="83"/>
      <c r="J40" s="83"/>
      <c r="K40" s="83"/>
      <c r="L40" s="83"/>
      <c r="M40" s="167">
        <f t="shared" si="8"/>
        <v>0</v>
      </c>
      <c r="N40" s="83">
        <f t="shared" si="9"/>
        <v>129.6</v>
      </c>
      <c r="O40" s="167">
        <f t="shared" si="6"/>
        <v>129.6</v>
      </c>
      <c r="P40" s="483" t="e">
        <f t="shared" si="7"/>
        <v>#DIV/0!</v>
      </c>
    </row>
    <row r="41" spans="1:16" ht="39" customHeight="1">
      <c r="A41" s="190"/>
      <c r="B41" s="556" t="s">
        <v>430</v>
      </c>
      <c r="C41" s="557"/>
      <c r="D41" s="558"/>
      <c r="E41" s="83"/>
      <c r="F41" s="83"/>
      <c r="G41" s="83"/>
      <c r="H41" s="83">
        <v>47.7</v>
      </c>
      <c r="I41" s="83"/>
      <c r="J41" s="83"/>
      <c r="K41" s="83"/>
      <c r="L41" s="83"/>
      <c r="M41" s="167">
        <f t="shared" si="8"/>
        <v>0</v>
      </c>
      <c r="N41" s="83">
        <f t="shared" si="9"/>
        <v>47.7</v>
      </c>
      <c r="O41" s="167">
        <f t="shared" si="6"/>
        <v>47.7</v>
      </c>
      <c r="P41" s="483" t="e">
        <f t="shared" si="7"/>
        <v>#DIV/0!</v>
      </c>
    </row>
    <row r="42" spans="1:16" ht="39" customHeight="1">
      <c r="A42" s="190"/>
      <c r="B42" s="556" t="s">
        <v>431</v>
      </c>
      <c r="C42" s="557"/>
      <c r="D42" s="558"/>
      <c r="E42" s="83"/>
      <c r="F42" s="83"/>
      <c r="G42" s="83"/>
      <c r="H42" s="83">
        <v>69.900000000000006</v>
      </c>
      <c r="I42" s="83"/>
      <c r="J42" s="83"/>
      <c r="K42" s="83"/>
      <c r="L42" s="83"/>
      <c r="M42" s="167">
        <f t="shared" si="8"/>
        <v>0</v>
      </c>
      <c r="N42" s="83">
        <f t="shared" si="9"/>
        <v>69.900000000000006</v>
      </c>
      <c r="O42" s="167">
        <f t="shared" si="6"/>
        <v>69.900000000000006</v>
      </c>
      <c r="P42" s="483" t="e">
        <f t="shared" si="7"/>
        <v>#DIV/0!</v>
      </c>
    </row>
    <row r="43" spans="1:16" ht="33" customHeight="1">
      <c r="A43" s="190"/>
      <c r="B43" s="556" t="s">
        <v>432</v>
      </c>
      <c r="C43" s="557"/>
      <c r="D43" s="558"/>
      <c r="E43" s="83"/>
      <c r="F43" s="83"/>
      <c r="G43" s="83"/>
      <c r="H43" s="83">
        <v>54.9</v>
      </c>
      <c r="I43" s="83"/>
      <c r="J43" s="83"/>
      <c r="K43" s="83"/>
      <c r="L43" s="83"/>
      <c r="M43" s="167">
        <f t="shared" si="8"/>
        <v>0</v>
      </c>
      <c r="N43" s="83">
        <f t="shared" si="9"/>
        <v>54.9</v>
      </c>
      <c r="O43" s="167">
        <f t="shared" si="6"/>
        <v>54.9</v>
      </c>
      <c r="P43" s="483" t="e">
        <f t="shared" si="7"/>
        <v>#DIV/0!</v>
      </c>
    </row>
    <row r="44" spans="1:16" ht="29.25" customHeight="1">
      <c r="A44" s="190"/>
      <c r="B44" s="556" t="s">
        <v>543</v>
      </c>
      <c r="C44" s="557"/>
      <c r="D44" s="558"/>
      <c r="E44" s="83"/>
      <c r="F44" s="83"/>
      <c r="G44" s="83"/>
      <c r="H44" s="83"/>
      <c r="I44" s="83"/>
      <c r="J44" s="83"/>
      <c r="K44" s="83"/>
      <c r="L44" s="83">
        <v>22.6</v>
      </c>
      <c r="M44" s="167">
        <f t="shared" si="8"/>
        <v>0</v>
      </c>
      <c r="N44" s="83">
        <f t="shared" si="9"/>
        <v>22.6</v>
      </c>
      <c r="O44" s="167">
        <f t="shared" si="6"/>
        <v>22.6</v>
      </c>
      <c r="P44" s="483" t="e">
        <f t="shared" si="7"/>
        <v>#DIV/0!</v>
      </c>
    </row>
    <row r="45" spans="1:16" ht="26.25" customHeight="1">
      <c r="A45" s="190"/>
      <c r="B45" s="556" t="s">
        <v>544</v>
      </c>
      <c r="C45" s="557"/>
      <c r="D45" s="558"/>
      <c r="E45" s="83"/>
      <c r="F45" s="83"/>
      <c r="G45" s="83"/>
      <c r="H45" s="83"/>
      <c r="I45" s="83"/>
      <c r="J45" s="83"/>
      <c r="K45" s="83"/>
      <c r="L45" s="83">
        <v>37.5</v>
      </c>
      <c r="M45" s="167">
        <f t="shared" si="8"/>
        <v>0</v>
      </c>
      <c r="N45" s="83">
        <f t="shared" si="9"/>
        <v>37.5</v>
      </c>
      <c r="O45" s="167">
        <f t="shared" si="6"/>
        <v>37.5</v>
      </c>
      <c r="P45" s="483" t="e">
        <f t="shared" si="7"/>
        <v>#DIV/0!</v>
      </c>
    </row>
    <row r="46" spans="1:16" ht="42.75" customHeight="1">
      <c r="A46" s="190"/>
      <c r="B46" s="556" t="s">
        <v>545</v>
      </c>
      <c r="C46" s="557"/>
      <c r="D46" s="558"/>
      <c r="E46" s="83"/>
      <c r="F46" s="83"/>
      <c r="G46" s="83"/>
      <c r="H46" s="83"/>
      <c r="I46" s="83"/>
      <c r="J46" s="83"/>
      <c r="K46" s="83"/>
      <c r="L46" s="83">
        <v>41.6</v>
      </c>
      <c r="M46" s="167">
        <f t="shared" si="8"/>
        <v>0</v>
      </c>
      <c r="N46" s="83">
        <f t="shared" si="9"/>
        <v>41.6</v>
      </c>
      <c r="O46" s="167">
        <f t="shared" si="6"/>
        <v>41.6</v>
      </c>
      <c r="P46" s="483" t="e">
        <f t="shared" si="7"/>
        <v>#DIV/0!</v>
      </c>
    </row>
    <row r="47" spans="1:16" ht="26.25" customHeight="1">
      <c r="A47" s="190"/>
      <c r="B47" s="556" t="s">
        <v>546</v>
      </c>
      <c r="C47" s="557"/>
      <c r="D47" s="558"/>
      <c r="E47" s="83"/>
      <c r="F47" s="83"/>
      <c r="G47" s="83"/>
      <c r="H47" s="83"/>
      <c r="I47" s="83"/>
      <c r="J47" s="83"/>
      <c r="K47" s="83"/>
      <c r="L47" s="83">
        <v>35</v>
      </c>
      <c r="M47" s="167">
        <f t="shared" si="8"/>
        <v>0</v>
      </c>
      <c r="N47" s="83">
        <f t="shared" si="9"/>
        <v>35</v>
      </c>
      <c r="O47" s="167">
        <f t="shared" si="6"/>
        <v>35</v>
      </c>
      <c r="P47" s="483" t="e">
        <f t="shared" si="7"/>
        <v>#DIV/0!</v>
      </c>
    </row>
    <row r="48" spans="1:16" ht="26.25" customHeight="1">
      <c r="A48" s="190"/>
      <c r="B48" s="556" t="s">
        <v>547</v>
      </c>
      <c r="C48" s="557"/>
      <c r="D48" s="558"/>
      <c r="E48" s="83"/>
      <c r="F48" s="83"/>
      <c r="G48" s="83"/>
      <c r="H48" s="83"/>
      <c r="I48" s="83"/>
      <c r="J48" s="83"/>
      <c r="K48" s="83"/>
      <c r="L48" s="83">
        <v>28</v>
      </c>
      <c r="M48" s="167">
        <f t="shared" si="8"/>
        <v>0</v>
      </c>
      <c r="N48" s="83">
        <f t="shared" si="9"/>
        <v>28</v>
      </c>
      <c r="O48" s="167">
        <f t="shared" si="6"/>
        <v>28</v>
      </c>
      <c r="P48" s="483" t="e">
        <f t="shared" si="7"/>
        <v>#DIV/0!</v>
      </c>
    </row>
    <row r="49" spans="1:16" ht="40.5" customHeight="1">
      <c r="A49" s="190"/>
      <c r="B49" s="556" t="s">
        <v>548</v>
      </c>
      <c r="C49" s="557"/>
      <c r="D49" s="558"/>
      <c r="E49" s="83"/>
      <c r="F49" s="83"/>
      <c r="G49" s="83"/>
      <c r="H49" s="83"/>
      <c r="I49" s="83"/>
      <c r="J49" s="83"/>
      <c r="K49" s="83"/>
      <c r="L49" s="83">
        <v>89.9</v>
      </c>
      <c r="M49" s="167">
        <f t="shared" si="8"/>
        <v>0</v>
      </c>
      <c r="N49" s="83">
        <f t="shared" si="9"/>
        <v>89.9</v>
      </c>
      <c r="O49" s="167">
        <f t="shared" si="6"/>
        <v>89.9</v>
      </c>
      <c r="P49" s="483" t="e">
        <f t="shared" si="7"/>
        <v>#DIV/0!</v>
      </c>
    </row>
    <row r="50" spans="1:16" ht="38.25" customHeight="1">
      <c r="A50" s="190"/>
      <c r="B50" s="556" t="s">
        <v>549</v>
      </c>
      <c r="C50" s="557"/>
      <c r="D50" s="558"/>
      <c r="E50" s="83"/>
      <c r="F50" s="83"/>
      <c r="G50" s="83"/>
      <c r="H50" s="83"/>
      <c r="I50" s="83"/>
      <c r="J50" s="83"/>
      <c r="K50" s="83"/>
      <c r="L50" s="83">
        <v>90.1</v>
      </c>
      <c r="M50" s="167">
        <f t="shared" si="8"/>
        <v>0</v>
      </c>
      <c r="N50" s="83">
        <f t="shared" si="9"/>
        <v>90.1</v>
      </c>
      <c r="O50" s="167">
        <f t="shared" si="6"/>
        <v>90.1</v>
      </c>
      <c r="P50" s="483" t="e">
        <f t="shared" si="7"/>
        <v>#DIV/0!</v>
      </c>
    </row>
    <row r="51" spans="1:16" ht="59.25" customHeight="1">
      <c r="A51" s="190"/>
      <c r="B51" s="556" t="s">
        <v>550</v>
      </c>
      <c r="C51" s="557"/>
      <c r="D51" s="558"/>
      <c r="E51" s="83"/>
      <c r="F51" s="83"/>
      <c r="G51" s="83"/>
      <c r="H51" s="83"/>
      <c r="I51" s="83"/>
      <c r="J51" s="83"/>
      <c r="K51" s="83"/>
      <c r="L51" s="83">
        <v>107.7</v>
      </c>
      <c r="M51" s="167">
        <f t="shared" si="8"/>
        <v>0</v>
      </c>
      <c r="N51" s="83">
        <f t="shared" si="9"/>
        <v>107.7</v>
      </c>
      <c r="O51" s="167">
        <f t="shared" si="6"/>
        <v>107.7</v>
      </c>
      <c r="P51" s="483" t="e">
        <f t="shared" si="7"/>
        <v>#DIV/0!</v>
      </c>
    </row>
    <row r="52" spans="1:16" ht="25.5" customHeight="1">
      <c r="A52" s="190"/>
      <c r="B52" s="556" t="s">
        <v>551</v>
      </c>
      <c r="C52" s="557"/>
      <c r="D52" s="558"/>
      <c r="E52" s="83"/>
      <c r="F52" s="83"/>
      <c r="G52" s="83"/>
      <c r="H52" s="83"/>
      <c r="I52" s="83"/>
      <c r="J52" s="83"/>
      <c r="K52" s="83"/>
      <c r="L52" s="83">
        <v>180.5</v>
      </c>
      <c r="M52" s="167">
        <f t="shared" si="8"/>
        <v>0</v>
      </c>
      <c r="N52" s="83">
        <f t="shared" si="9"/>
        <v>180.5</v>
      </c>
      <c r="O52" s="167">
        <f t="shared" si="6"/>
        <v>180.5</v>
      </c>
      <c r="P52" s="483" t="e">
        <f t="shared" si="7"/>
        <v>#DIV/0!</v>
      </c>
    </row>
    <row r="53" spans="1:16" ht="40.5" customHeight="1">
      <c r="A53" s="190"/>
      <c r="B53" s="556" t="s">
        <v>552</v>
      </c>
      <c r="C53" s="557"/>
      <c r="D53" s="558"/>
      <c r="E53" s="83"/>
      <c r="F53" s="83"/>
      <c r="G53" s="83"/>
      <c r="H53" s="83"/>
      <c r="I53" s="83"/>
      <c r="J53" s="83"/>
      <c r="K53" s="83"/>
      <c r="L53" s="83">
        <v>544.5</v>
      </c>
      <c r="M53" s="167">
        <f t="shared" si="8"/>
        <v>0</v>
      </c>
      <c r="N53" s="83">
        <f t="shared" si="9"/>
        <v>544.5</v>
      </c>
      <c r="O53" s="167">
        <f t="shared" si="6"/>
        <v>544.5</v>
      </c>
      <c r="P53" s="483" t="e">
        <f t="shared" si="7"/>
        <v>#DIV/0!</v>
      </c>
    </row>
    <row r="54" spans="1:16" ht="38.25" customHeight="1">
      <c r="A54" s="190"/>
      <c r="B54" s="556" t="s">
        <v>553</v>
      </c>
      <c r="C54" s="557"/>
      <c r="D54" s="558"/>
      <c r="E54" s="83"/>
      <c r="F54" s="83"/>
      <c r="G54" s="83"/>
      <c r="H54" s="83"/>
      <c r="I54" s="83"/>
      <c r="J54" s="83"/>
      <c r="K54" s="83"/>
      <c r="L54" s="83">
        <v>22.8</v>
      </c>
      <c r="M54" s="167">
        <f t="shared" si="8"/>
        <v>0</v>
      </c>
      <c r="N54" s="83">
        <f t="shared" si="9"/>
        <v>22.8</v>
      </c>
      <c r="O54" s="167">
        <f t="shared" si="6"/>
        <v>22.8</v>
      </c>
      <c r="P54" s="483" t="e">
        <f t="shared" si="7"/>
        <v>#DIV/0!</v>
      </c>
    </row>
    <row r="55" spans="1:16" ht="27" customHeight="1">
      <c r="A55" s="190"/>
      <c r="B55" s="556" t="s">
        <v>554</v>
      </c>
      <c r="C55" s="557"/>
      <c r="D55" s="558"/>
      <c r="E55" s="83"/>
      <c r="F55" s="83"/>
      <c r="G55" s="83"/>
      <c r="H55" s="83"/>
      <c r="I55" s="83"/>
      <c r="J55" s="83"/>
      <c r="K55" s="83"/>
      <c r="L55" s="83">
        <v>103.3</v>
      </c>
      <c r="M55" s="167">
        <f t="shared" si="8"/>
        <v>0</v>
      </c>
      <c r="N55" s="83">
        <f t="shared" si="9"/>
        <v>103.3</v>
      </c>
      <c r="O55" s="167">
        <f t="shared" si="6"/>
        <v>103.3</v>
      </c>
      <c r="P55" s="483" t="e">
        <f t="shared" si="7"/>
        <v>#DIV/0!</v>
      </c>
    </row>
    <row r="56" spans="1:16" ht="23.25" customHeight="1">
      <c r="A56" s="190"/>
      <c r="B56" s="556" t="s">
        <v>555</v>
      </c>
      <c r="C56" s="557"/>
      <c r="D56" s="558"/>
      <c r="E56" s="83"/>
      <c r="F56" s="83"/>
      <c r="G56" s="83"/>
      <c r="H56" s="83"/>
      <c r="I56" s="83"/>
      <c r="J56" s="83"/>
      <c r="K56" s="83"/>
      <c r="L56" s="83">
        <v>68.2</v>
      </c>
      <c r="M56" s="167">
        <f t="shared" si="8"/>
        <v>0</v>
      </c>
      <c r="N56" s="83">
        <f t="shared" si="9"/>
        <v>68.2</v>
      </c>
      <c r="O56" s="167">
        <f t="shared" si="6"/>
        <v>68.2</v>
      </c>
      <c r="P56" s="483" t="e">
        <f t="shared" si="7"/>
        <v>#DIV/0!</v>
      </c>
    </row>
    <row r="57" spans="1:16" ht="36.75" customHeight="1">
      <c r="A57" s="190"/>
      <c r="B57" s="556" t="s">
        <v>556</v>
      </c>
      <c r="C57" s="557"/>
      <c r="D57" s="558"/>
      <c r="E57" s="83"/>
      <c r="F57" s="83"/>
      <c r="G57" s="83"/>
      <c r="H57" s="83"/>
      <c r="I57" s="83"/>
      <c r="J57" s="83"/>
      <c r="K57" s="83"/>
      <c r="L57" s="83">
        <v>33.9</v>
      </c>
      <c r="M57" s="167">
        <f t="shared" si="8"/>
        <v>0</v>
      </c>
      <c r="N57" s="83">
        <f t="shared" si="9"/>
        <v>33.9</v>
      </c>
      <c r="O57" s="167">
        <f t="shared" si="6"/>
        <v>33.9</v>
      </c>
      <c r="P57" s="483" t="e">
        <f t="shared" si="7"/>
        <v>#DIV/0!</v>
      </c>
    </row>
    <row r="58" spans="1:16" ht="26.25" customHeight="1">
      <c r="A58" s="190"/>
      <c r="B58" s="556" t="s">
        <v>557</v>
      </c>
      <c r="C58" s="557"/>
      <c r="D58" s="558"/>
      <c r="E58" s="83"/>
      <c r="F58" s="83"/>
      <c r="G58" s="83"/>
      <c r="H58" s="83"/>
      <c r="I58" s="83"/>
      <c r="J58" s="83"/>
      <c r="K58" s="83"/>
      <c r="L58" s="83">
        <v>159.69999999999999</v>
      </c>
      <c r="M58" s="167">
        <f t="shared" si="8"/>
        <v>0</v>
      </c>
      <c r="N58" s="83">
        <f t="shared" si="9"/>
        <v>159.69999999999999</v>
      </c>
      <c r="O58" s="167">
        <f t="shared" si="6"/>
        <v>159.69999999999999</v>
      </c>
      <c r="P58" s="483" t="e">
        <f t="shared" si="7"/>
        <v>#DIV/0!</v>
      </c>
    </row>
    <row r="59" spans="1:16" ht="39.75" customHeight="1">
      <c r="A59" s="190"/>
      <c r="B59" s="556" t="s">
        <v>558</v>
      </c>
      <c r="C59" s="557"/>
      <c r="D59" s="558"/>
      <c r="E59" s="83"/>
      <c r="F59" s="83"/>
      <c r="G59" s="83"/>
      <c r="H59" s="83"/>
      <c r="I59" s="83"/>
      <c r="J59" s="83"/>
      <c r="K59" s="83"/>
      <c r="L59" s="83">
        <v>20.3</v>
      </c>
      <c r="M59" s="167">
        <f t="shared" si="8"/>
        <v>0</v>
      </c>
      <c r="N59" s="83">
        <f t="shared" si="9"/>
        <v>20.3</v>
      </c>
      <c r="O59" s="167">
        <f t="shared" si="6"/>
        <v>20.3</v>
      </c>
      <c r="P59" s="483" t="e">
        <f t="shared" si="7"/>
        <v>#DIV/0!</v>
      </c>
    </row>
    <row r="60" spans="1:16" ht="39" customHeight="1">
      <c r="A60" s="190"/>
      <c r="B60" s="556" t="s">
        <v>559</v>
      </c>
      <c r="C60" s="557"/>
      <c r="D60" s="558"/>
      <c r="E60" s="83"/>
      <c r="F60" s="83"/>
      <c r="G60" s="83"/>
      <c r="H60" s="83"/>
      <c r="I60" s="83"/>
      <c r="J60" s="83"/>
      <c r="K60" s="83"/>
      <c r="L60" s="83">
        <v>181.3</v>
      </c>
      <c r="M60" s="167">
        <f t="shared" si="8"/>
        <v>0</v>
      </c>
      <c r="N60" s="83">
        <f t="shared" si="9"/>
        <v>181.3</v>
      </c>
      <c r="O60" s="167">
        <f t="shared" si="6"/>
        <v>181.3</v>
      </c>
      <c r="P60" s="483" t="e">
        <f t="shared" si="7"/>
        <v>#DIV/0!</v>
      </c>
    </row>
    <row r="61" spans="1:16" ht="45.75" customHeight="1">
      <c r="A61" s="190"/>
      <c r="B61" s="556" t="s">
        <v>560</v>
      </c>
      <c r="C61" s="557"/>
      <c r="D61" s="558"/>
      <c r="E61" s="83"/>
      <c r="F61" s="83"/>
      <c r="G61" s="83"/>
      <c r="H61" s="83"/>
      <c r="I61" s="83"/>
      <c r="J61" s="83"/>
      <c r="K61" s="83"/>
      <c r="L61" s="83">
        <v>94.3</v>
      </c>
      <c r="M61" s="167">
        <f t="shared" si="8"/>
        <v>0</v>
      </c>
      <c r="N61" s="83">
        <f t="shared" si="9"/>
        <v>94.3</v>
      </c>
      <c r="O61" s="167">
        <f t="shared" si="6"/>
        <v>94.3</v>
      </c>
      <c r="P61" s="483" t="e">
        <f t="shared" si="7"/>
        <v>#DIV/0!</v>
      </c>
    </row>
    <row r="62" spans="1:16" ht="29.25" customHeight="1">
      <c r="A62" s="190"/>
      <c r="B62" s="556" t="s">
        <v>561</v>
      </c>
      <c r="C62" s="557"/>
      <c r="D62" s="558"/>
      <c r="E62" s="83"/>
      <c r="F62" s="83"/>
      <c r="G62" s="83"/>
      <c r="H62" s="83"/>
      <c r="I62" s="83"/>
      <c r="J62" s="83"/>
      <c r="K62" s="83"/>
      <c r="L62" s="83">
        <v>138.19999999999999</v>
      </c>
      <c r="M62" s="167">
        <f t="shared" si="8"/>
        <v>0</v>
      </c>
      <c r="N62" s="83">
        <f t="shared" si="9"/>
        <v>138.19999999999999</v>
      </c>
      <c r="O62" s="167">
        <f t="shared" si="6"/>
        <v>138.19999999999999</v>
      </c>
      <c r="P62" s="483" t="e">
        <f t="shared" si="7"/>
        <v>#DIV/0!</v>
      </c>
    </row>
    <row r="63" spans="1:16" ht="29.25" customHeight="1">
      <c r="A63" s="190"/>
      <c r="B63" s="556" t="s">
        <v>562</v>
      </c>
      <c r="C63" s="557"/>
      <c r="D63" s="558"/>
      <c r="E63" s="83"/>
      <c r="F63" s="83"/>
      <c r="G63" s="83"/>
      <c r="H63" s="83"/>
      <c r="I63" s="83"/>
      <c r="J63" s="83"/>
      <c r="K63" s="83"/>
      <c r="L63" s="83">
        <v>120</v>
      </c>
      <c r="M63" s="167">
        <f t="shared" si="8"/>
        <v>0</v>
      </c>
      <c r="N63" s="83">
        <f t="shared" si="9"/>
        <v>120</v>
      </c>
      <c r="O63" s="167">
        <f t="shared" si="6"/>
        <v>120</v>
      </c>
      <c r="P63" s="483" t="e">
        <f t="shared" si="7"/>
        <v>#DIV/0!</v>
      </c>
    </row>
    <row r="64" spans="1:16" ht="29.25" customHeight="1">
      <c r="A64" s="190"/>
      <c r="B64" s="556" t="s">
        <v>563</v>
      </c>
      <c r="C64" s="557"/>
      <c r="D64" s="558"/>
      <c r="E64" s="83"/>
      <c r="F64" s="83"/>
      <c r="G64" s="83"/>
      <c r="H64" s="83"/>
      <c r="I64" s="83"/>
      <c r="J64" s="83"/>
      <c r="K64" s="83"/>
      <c r="L64" s="83">
        <v>46.7</v>
      </c>
      <c r="M64" s="167">
        <f t="shared" si="8"/>
        <v>0</v>
      </c>
      <c r="N64" s="83">
        <f t="shared" si="9"/>
        <v>46.7</v>
      </c>
      <c r="O64" s="167">
        <f t="shared" si="6"/>
        <v>46.7</v>
      </c>
      <c r="P64" s="483" t="e">
        <f t="shared" si="7"/>
        <v>#DIV/0!</v>
      </c>
    </row>
    <row r="65" spans="1:18" ht="29.25" customHeight="1">
      <c r="A65" s="190"/>
      <c r="B65" s="556" t="s">
        <v>564</v>
      </c>
      <c r="C65" s="557"/>
      <c r="D65" s="558"/>
      <c r="E65" s="83"/>
      <c r="F65" s="83"/>
      <c r="G65" s="83"/>
      <c r="H65" s="83"/>
      <c r="I65" s="83"/>
      <c r="J65" s="83"/>
      <c r="K65" s="83"/>
      <c r="L65" s="83">
        <v>77.8</v>
      </c>
      <c r="M65" s="167">
        <f t="shared" si="8"/>
        <v>0</v>
      </c>
      <c r="N65" s="83">
        <f t="shared" si="9"/>
        <v>77.8</v>
      </c>
      <c r="O65" s="167">
        <f t="shared" si="6"/>
        <v>77.8</v>
      </c>
      <c r="P65" s="483" t="e">
        <f t="shared" si="7"/>
        <v>#DIV/0!</v>
      </c>
    </row>
    <row r="66" spans="1:18" ht="59.25" customHeight="1">
      <c r="A66" s="190"/>
      <c r="B66" s="556" t="s">
        <v>565</v>
      </c>
      <c r="C66" s="557"/>
      <c r="D66" s="558"/>
      <c r="E66" s="83"/>
      <c r="F66" s="83"/>
      <c r="G66" s="83"/>
      <c r="H66" s="83"/>
      <c r="I66" s="83"/>
      <c r="J66" s="83"/>
      <c r="K66" s="83"/>
      <c r="L66" s="83">
        <v>407.7</v>
      </c>
      <c r="M66" s="167">
        <f t="shared" si="8"/>
        <v>0</v>
      </c>
      <c r="N66" s="83">
        <f t="shared" si="9"/>
        <v>407.7</v>
      </c>
      <c r="O66" s="167">
        <f t="shared" si="6"/>
        <v>407.7</v>
      </c>
      <c r="P66" s="483" t="e">
        <f t="shared" si="7"/>
        <v>#DIV/0!</v>
      </c>
    </row>
    <row r="67" spans="1:18" ht="29.25" customHeight="1">
      <c r="A67" s="190"/>
      <c r="B67" s="556" t="s">
        <v>566</v>
      </c>
      <c r="C67" s="557"/>
      <c r="D67" s="558"/>
      <c r="E67" s="83"/>
      <c r="F67" s="83"/>
      <c r="G67" s="83"/>
      <c r="H67" s="83"/>
      <c r="I67" s="83"/>
      <c r="J67" s="83"/>
      <c r="K67" s="83"/>
      <c r="L67" s="83">
        <v>124.8</v>
      </c>
      <c r="M67" s="167">
        <f t="shared" si="8"/>
        <v>0</v>
      </c>
      <c r="N67" s="83">
        <f t="shared" si="9"/>
        <v>124.8</v>
      </c>
      <c r="O67" s="167">
        <f t="shared" si="6"/>
        <v>124.8</v>
      </c>
      <c r="P67" s="483" t="e">
        <f t="shared" si="7"/>
        <v>#DIV/0!</v>
      </c>
    </row>
    <row r="68" spans="1:18" ht="29.25" customHeight="1">
      <c r="A68" s="190"/>
      <c r="B68" s="556" t="s">
        <v>567</v>
      </c>
      <c r="C68" s="557"/>
      <c r="D68" s="558"/>
      <c r="E68" s="83"/>
      <c r="F68" s="83"/>
      <c r="G68" s="83"/>
      <c r="H68" s="83"/>
      <c r="I68" s="83"/>
      <c r="J68" s="83"/>
      <c r="K68" s="83"/>
      <c r="L68" s="83">
        <v>55.3</v>
      </c>
      <c r="M68" s="167">
        <f t="shared" si="8"/>
        <v>0</v>
      </c>
      <c r="N68" s="83">
        <f t="shared" si="9"/>
        <v>55.3</v>
      </c>
      <c r="O68" s="167">
        <f t="shared" si="6"/>
        <v>55.3</v>
      </c>
      <c r="P68" s="483" t="e">
        <f t="shared" si="7"/>
        <v>#DIV/0!</v>
      </c>
    </row>
    <row r="69" spans="1:18" ht="29.25" customHeight="1">
      <c r="A69" s="190"/>
      <c r="B69" s="556" t="s">
        <v>568</v>
      </c>
      <c r="C69" s="557"/>
      <c r="D69" s="558"/>
      <c r="E69" s="83"/>
      <c r="F69" s="83"/>
      <c r="G69" s="83"/>
      <c r="H69" s="83">
        <v>4.3</v>
      </c>
      <c r="I69" s="83"/>
      <c r="J69" s="83"/>
      <c r="K69" s="83"/>
      <c r="L69" s="83"/>
      <c r="M69" s="167">
        <f t="shared" si="8"/>
        <v>0</v>
      </c>
      <c r="N69" s="83">
        <f t="shared" si="9"/>
        <v>4.3</v>
      </c>
      <c r="O69" s="167">
        <f t="shared" si="6"/>
        <v>4.3</v>
      </c>
      <c r="P69" s="483" t="e">
        <f t="shared" si="7"/>
        <v>#DIV/0!</v>
      </c>
    </row>
    <row r="70" spans="1:18" ht="29.25" customHeight="1">
      <c r="A70" s="190"/>
      <c r="B70" s="556" t="s">
        <v>569</v>
      </c>
      <c r="C70" s="557"/>
      <c r="D70" s="558"/>
      <c r="E70" s="83"/>
      <c r="F70" s="83"/>
      <c r="G70" s="83"/>
      <c r="H70" s="83"/>
      <c r="I70" s="83"/>
      <c r="J70" s="83"/>
      <c r="K70" s="83"/>
      <c r="L70" s="83">
        <v>148.30000000000001</v>
      </c>
      <c r="M70" s="167">
        <f t="shared" si="8"/>
        <v>0</v>
      </c>
      <c r="N70" s="83">
        <f t="shared" si="9"/>
        <v>148.30000000000001</v>
      </c>
      <c r="O70" s="167">
        <f t="shared" si="6"/>
        <v>148.30000000000001</v>
      </c>
      <c r="P70" s="483" t="e">
        <f t="shared" si="7"/>
        <v>#DIV/0!</v>
      </c>
    </row>
    <row r="71" spans="1:18" s="490" customFormat="1" ht="29.25" customHeight="1">
      <c r="A71" s="479"/>
      <c r="B71" s="586" t="s">
        <v>701</v>
      </c>
      <c r="C71" s="587" t="s">
        <v>701</v>
      </c>
      <c r="D71" s="588" t="s">
        <v>701</v>
      </c>
      <c r="E71" s="475"/>
      <c r="F71" s="475"/>
      <c r="G71" s="475"/>
      <c r="H71" s="475"/>
      <c r="I71" s="475"/>
      <c r="J71" s="475"/>
      <c r="K71" s="475"/>
      <c r="L71" s="475">
        <v>1142.5</v>
      </c>
      <c r="M71" s="477"/>
      <c r="N71" s="475">
        <f t="shared" si="9"/>
        <v>1142.5</v>
      </c>
      <c r="O71" s="477">
        <f t="shared" ref="O71:O72" si="10">N71-M71</f>
        <v>1142.5</v>
      </c>
      <c r="P71" s="483" t="e">
        <f t="shared" ref="P71:P72" si="11">(N71/M71)*100</f>
        <v>#DIV/0!</v>
      </c>
    </row>
    <row r="72" spans="1:18" s="490" customFormat="1" ht="50.25" customHeight="1">
      <c r="A72" s="479"/>
      <c r="B72" s="586" t="s">
        <v>702</v>
      </c>
      <c r="C72" s="587" t="s">
        <v>702</v>
      </c>
      <c r="D72" s="588" t="s">
        <v>702</v>
      </c>
      <c r="E72" s="475"/>
      <c r="F72" s="475"/>
      <c r="G72" s="475"/>
      <c r="H72" s="475"/>
      <c r="I72" s="475"/>
      <c r="J72" s="475"/>
      <c r="K72" s="475"/>
      <c r="L72" s="475">
        <v>49.9</v>
      </c>
      <c r="M72" s="477"/>
      <c r="N72" s="475">
        <f t="shared" si="9"/>
        <v>49.9</v>
      </c>
      <c r="O72" s="477">
        <f t="shared" si="10"/>
        <v>49.9</v>
      </c>
      <c r="P72" s="483" t="e">
        <f t="shared" si="11"/>
        <v>#DIV/0!</v>
      </c>
    </row>
    <row r="73" spans="1:18" ht="62.25" customHeight="1">
      <c r="A73" s="290">
        <v>3</v>
      </c>
      <c r="B73" s="584" t="s">
        <v>95</v>
      </c>
      <c r="C73" s="584"/>
      <c r="D73" s="584"/>
      <c r="E73" s="291">
        <f t="shared" ref="E73:K73" si="12">SUM(E91:E218)</f>
        <v>0</v>
      </c>
      <c r="F73" s="291">
        <f t="shared" si="12"/>
        <v>0</v>
      </c>
      <c r="G73" s="291">
        <f t="shared" si="12"/>
        <v>0</v>
      </c>
      <c r="H73" s="291">
        <f t="shared" si="12"/>
        <v>949.00000000000011</v>
      </c>
      <c r="I73" s="291">
        <f t="shared" si="12"/>
        <v>0</v>
      </c>
      <c r="J73" s="291">
        <f t="shared" si="12"/>
        <v>338.5</v>
      </c>
      <c r="K73" s="291">
        <f t="shared" si="12"/>
        <v>0</v>
      </c>
      <c r="L73" s="291">
        <f>SUM(L91:L218)</f>
        <v>1657.8999999999999</v>
      </c>
      <c r="M73" s="291">
        <f t="shared" si="8"/>
        <v>0</v>
      </c>
      <c r="N73" s="291">
        <f t="shared" si="9"/>
        <v>2945.3999999999996</v>
      </c>
      <c r="O73" s="291">
        <f t="shared" si="6"/>
        <v>2945.3999999999996</v>
      </c>
      <c r="P73" s="488" t="e">
        <f t="shared" si="7"/>
        <v>#DIV/0!</v>
      </c>
      <c r="R73" s="429"/>
    </row>
    <row r="74" spans="1:18" ht="79.5" hidden="1" customHeight="1">
      <c r="A74" s="190"/>
      <c r="B74" s="559" t="s">
        <v>279</v>
      </c>
      <c r="C74" s="560"/>
      <c r="D74" s="561"/>
      <c r="E74" s="167"/>
      <c r="F74" s="167"/>
      <c r="G74" s="167"/>
      <c r="H74" s="167"/>
      <c r="I74" s="167"/>
      <c r="J74" s="167"/>
      <c r="K74" s="167"/>
      <c r="L74" s="167"/>
      <c r="M74" s="167">
        <f t="shared" si="8"/>
        <v>0</v>
      </c>
      <c r="N74" s="83">
        <f t="shared" si="9"/>
        <v>0</v>
      </c>
      <c r="O74" s="167">
        <f t="shared" si="6"/>
        <v>0</v>
      </c>
      <c r="P74" s="483" t="e">
        <f t="shared" si="7"/>
        <v>#DIV/0!</v>
      </c>
    </row>
    <row r="75" spans="1:18" ht="79.5" hidden="1" customHeight="1">
      <c r="A75" s="190"/>
      <c r="B75" s="559" t="s">
        <v>280</v>
      </c>
      <c r="C75" s="560"/>
      <c r="D75" s="561"/>
      <c r="E75" s="167"/>
      <c r="F75" s="167"/>
      <c r="G75" s="167"/>
      <c r="H75" s="167"/>
      <c r="I75" s="167"/>
      <c r="J75" s="167"/>
      <c r="K75" s="167"/>
      <c r="L75" s="167"/>
      <c r="M75" s="167">
        <f t="shared" si="8"/>
        <v>0</v>
      </c>
      <c r="N75" s="83">
        <f t="shared" si="9"/>
        <v>0</v>
      </c>
      <c r="O75" s="167">
        <f t="shared" si="6"/>
        <v>0</v>
      </c>
      <c r="P75" s="483" t="e">
        <f t="shared" si="7"/>
        <v>#DIV/0!</v>
      </c>
    </row>
    <row r="76" spans="1:18" ht="79.5" hidden="1" customHeight="1">
      <c r="A76" s="190"/>
      <c r="B76" s="559" t="s">
        <v>327</v>
      </c>
      <c r="C76" s="560"/>
      <c r="D76" s="561"/>
      <c r="E76" s="167"/>
      <c r="F76" s="167"/>
      <c r="G76" s="167"/>
      <c r="H76" s="167"/>
      <c r="I76" s="167"/>
      <c r="J76" s="167"/>
      <c r="K76" s="167"/>
      <c r="L76" s="167"/>
      <c r="M76" s="167">
        <f t="shared" si="8"/>
        <v>0</v>
      </c>
      <c r="N76" s="83">
        <f t="shared" si="9"/>
        <v>0</v>
      </c>
      <c r="O76" s="167">
        <f t="shared" ref="O76:O139" si="13">N76-M76</f>
        <v>0</v>
      </c>
      <c r="P76" s="483" t="e">
        <f t="shared" ref="P76:P139" si="14">(N76/M76)*100</f>
        <v>#DIV/0!</v>
      </c>
    </row>
    <row r="77" spans="1:18" ht="115.5" hidden="1" customHeight="1">
      <c r="A77" s="190"/>
      <c r="B77" s="559" t="s">
        <v>281</v>
      </c>
      <c r="C77" s="560"/>
      <c r="D77" s="561"/>
      <c r="E77" s="167"/>
      <c r="F77" s="167"/>
      <c r="G77" s="167"/>
      <c r="H77" s="167"/>
      <c r="I77" s="167"/>
      <c r="J77" s="167"/>
      <c r="K77" s="167"/>
      <c r="L77" s="167"/>
      <c r="M77" s="167">
        <f t="shared" si="8"/>
        <v>0</v>
      </c>
      <c r="N77" s="83">
        <f t="shared" si="9"/>
        <v>0</v>
      </c>
      <c r="O77" s="167">
        <f t="shared" si="13"/>
        <v>0</v>
      </c>
      <c r="P77" s="483" t="e">
        <f t="shared" si="14"/>
        <v>#DIV/0!</v>
      </c>
    </row>
    <row r="78" spans="1:18" ht="79.5" hidden="1" customHeight="1">
      <c r="A78" s="190"/>
      <c r="B78" s="559" t="s">
        <v>282</v>
      </c>
      <c r="C78" s="560"/>
      <c r="D78" s="561"/>
      <c r="E78" s="167"/>
      <c r="F78" s="167"/>
      <c r="G78" s="167"/>
      <c r="H78" s="167"/>
      <c r="I78" s="167"/>
      <c r="J78" s="167"/>
      <c r="K78" s="167"/>
      <c r="L78" s="167"/>
      <c r="M78" s="167">
        <f t="shared" si="8"/>
        <v>0</v>
      </c>
      <c r="N78" s="83">
        <f t="shared" si="9"/>
        <v>0</v>
      </c>
      <c r="O78" s="167">
        <f t="shared" si="13"/>
        <v>0</v>
      </c>
      <c r="P78" s="483" t="e">
        <f t="shared" si="14"/>
        <v>#DIV/0!</v>
      </c>
    </row>
    <row r="79" spans="1:18" ht="79.5" hidden="1" customHeight="1">
      <c r="A79" s="190"/>
      <c r="B79" s="559" t="s">
        <v>283</v>
      </c>
      <c r="C79" s="560"/>
      <c r="D79" s="561"/>
      <c r="E79" s="167"/>
      <c r="F79" s="167"/>
      <c r="G79" s="167"/>
      <c r="H79" s="167"/>
      <c r="I79" s="167"/>
      <c r="J79" s="167"/>
      <c r="K79" s="167"/>
      <c r="L79" s="167"/>
      <c r="M79" s="167">
        <f t="shared" si="8"/>
        <v>0</v>
      </c>
      <c r="N79" s="83">
        <f t="shared" si="9"/>
        <v>0</v>
      </c>
      <c r="O79" s="167">
        <f t="shared" si="13"/>
        <v>0</v>
      </c>
      <c r="P79" s="483" t="e">
        <f t="shared" si="14"/>
        <v>#DIV/0!</v>
      </c>
    </row>
    <row r="80" spans="1:18" ht="79.5" hidden="1" customHeight="1">
      <c r="A80" s="190"/>
      <c r="B80" s="559" t="s">
        <v>284</v>
      </c>
      <c r="C80" s="560"/>
      <c r="D80" s="561"/>
      <c r="E80" s="167"/>
      <c r="F80" s="167"/>
      <c r="G80" s="167"/>
      <c r="H80" s="167"/>
      <c r="I80" s="167"/>
      <c r="J80" s="167"/>
      <c r="K80" s="167"/>
      <c r="L80" s="167"/>
      <c r="M80" s="167">
        <f t="shared" si="8"/>
        <v>0</v>
      </c>
      <c r="N80" s="83">
        <f t="shared" si="9"/>
        <v>0</v>
      </c>
      <c r="O80" s="167">
        <f t="shared" si="13"/>
        <v>0</v>
      </c>
      <c r="P80" s="483" t="e">
        <f t="shared" si="14"/>
        <v>#DIV/0!</v>
      </c>
    </row>
    <row r="81" spans="1:16" ht="79.5" hidden="1" customHeight="1">
      <c r="A81" s="190"/>
      <c r="B81" s="559" t="s">
        <v>285</v>
      </c>
      <c r="C81" s="560"/>
      <c r="D81" s="561"/>
      <c r="E81" s="167"/>
      <c r="F81" s="167"/>
      <c r="G81" s="167"/>
      <c r="H81" s="167"/>
      <c r="I81" s="167"/>
      <c r="J81" s="167"/>
      <c r="K81" s="167"/>
      <c r="L81" s="167"/>
      <c r="M81" s="167">
        <f t="shared" si="8"/>
        <v>0</v>
      </c>
      <c r="N81" s="83">
        <f t="shared" si="9"/>
        <v>0</v>
      </c>
      <c r="O81" s="167">
        <f t="shared" si="13"/>
        <v>0</v>
      </c>
      <c r="P81" s="483" t="e">
        <f t="shared" si="14"/>
        <v>#DIV/0!</v>
      </c>
    </row>
    <row r="82" spans="1:16" ht="79.5" hidden="1" customHeight="1">
      <c r="A82" s="190"/>
      <c r="B82" s="559" t="s">
        <v>286</v>
      </c>
      <c r="C82" s="560"/>
      <c r="D82" s="561"/>
      <c r="E82" s="167"/>
      <c r="F82" s="167"/>
      <c r="G82" s="167"/>
      <c r="H82" s="167"/>
      <c r="I82" s="167"/>
      <c r="J82" s="167"/>
      <c r="K82" s="167"/>
      <c r="L82" s="167"/>
      <c r="M82" s="167">
        <f t="shared" si="8"/>
        <v>0</v>
      </c>
      <c r="N82" s="83">
        <f t="shared" si="9"/>
        <v>0</v>
      </c>
      <c r="O82" s="167">
        <f t="shared" si="13"/>
        <v>0</v>
      </c>
      <c r="P82" s="483" t="e">
        <f t="shared" si="14"/>
        <v>#DIV/0!</v>
      </c>
    </row>
    <row r="83" spans="1:16" ht="79.5" hidden="1" customHeight="1">
      <c r="A83" s="190"/>
      <c r="B83" s="559" t="s">
        <v>287</v>
      </c>
      <c r="C83" s="560"/>
      <c r="D83" s="561"/>
      <c r="E83" s="167"/>
      <c r="F83" s="167"/>
      <c r="G83" s="167"/>
      <c r="H83" s="167"/>
      <c r="I83" s="167"/>
      <c r="J83" s="167"/>
      <c r="K83" s="167"/>
      <c r="L83" s="167"/>
      <c r="M83" s="167">
        <f t="shared" si="8"/>
        <v>0</v>
      </c>
      <c r="N83" s="83">
        <f t="shared" si="9"/>
        <v>0</v>
      </c>
      <c r="O83" s="167">
        <f t="shared" si="13"/>
        <v>0</v>
      </c>
      <c r="P83" s="483" t="e">
        <f t="shared" si="14"/>
        <v>#DIV/0!</v>
      </c>
    </row>
    <row r="84" spans="1:16" ht="79.5" hidden="1" customHeight="1">
      <c r="A84" s="190"/>
      <c r="B84" s="559" t="s">
        <v>288</v>
      </c>
      <c r="C84" s="560"/>
      <c r="D84" s="561"/>
      <c r="E84" s="167"/>
      <c r="F84" s="167"/>
      <c r="G84" s="167"/>
      <c r="H84" s="167"/>
      <c r="I84" s="167"/>
      <c r="J84" s="167"/>
      <c r="K84" s="167"/>
      <c r="L84" s="167"/>
      <c r="M84" s="167">
        <f t="shared" si="8"/>
        <v>0</v>
      </c>
      <c r="N84" s="83">
        <f t="shared" si="9"/>
        <v>0</v>
      </c>
      <c r="O84" s="167">
        <f t="shared" si="13"/>
        <v>0</v>
      </c>
      <c r="P84" s="483" t="e">
        <f t="shared" si="14"/>
        <v>#DIV/0!</v>
      </c>
    </row>
    <row r="85" spans="1:16" ht="79.5" hidden="1" customHeight="1">
      <c r="A85" s="190"/>
      <c r="B85" s="559" t="s">
        <v>289</v>
      </c>
      <c r="C85" s="560"/>
      <c r="D85" s="561"/>
      <c r="E85" s="167"/>
      <c r="F85" s="167"/>
      <c r="G85" s="167"/>
      <c r="H85" s="167"/>
      <c r="I85" s="167"/>
      <c r="J85" s="167"/>
      <c r="K85" s="167"/>
      <c r="L85" s="167"/>
      <c r="M85" s="167">
        <f t="shared" si="8"/>
        <v>0</v>
      </c>
      <c r="N85" s="83">
        <f t="shared" si="9"/>
        <v>0</v>
      </c>
      <c r="O85" s="167">
        <f t="shared" si="13"/>
        <v>0</v>
      </c>
      <c r="P85" s="483" t="e">
        <f t="shared" si="14"/>
        <v>#DIV/0!</v>
      </c>
    </row>
    <row r="86" spans="1:16" ht="79.5" hidden="1" customHeight="1">
      <c r="A86" s="190"/>
      <c r="B86" s="559" t="s">
        <v>290</v>
      </c>
      <c r="C86" s="560"/>
      <c r="D86" s="561"/>
      <c r="E86" s="167"/>
      <c r="F86" s="167"/>
      <c r="G86" s="167"/>
      <c r="H86" s="167"/>
      <c r="I86" s="167"/>
      <c r="J86" s="167"/>
      <c r="K86" s="167"/>
      <c r="L86" s="167"/>
      <c r="M86" s="167">
        <f t="shared" si="8"/>
        <v>0</v>
      </c>
      <c r="N86" s="83">
        <f t="shared" si="9"/>
        <v>0</v>
      </c>
      <c r="O86" s="167">
        <f t="shared" si="13"/>
        <v>0</v>
      </c>
      <c r="P86" s="483" t="e">
        <f t="shared" si="14"/>
        <v>#DIV/0!</v>
      </c>
    </row>
    <row r="87" spans="1:16" ht="79.5" hidden="1" customHeight="1">
      <c r="A87" s="190"/>
      <c r="B87" s="559" t="s">
        <v>291</v>
      </c>
      <c r="C87" s="560"/>
      <c r="D87" s="561"/>
      <c r="E87" s="167"/>
      <c r="F87" s="167"/>
      <c r="G87" s="167"/>
      <c r="H87" s="167"/>
      <c r="I87" s="167"/>
      <c r="J87" s="167"/>
      <c r="K87" s="167"/>
      <c r="L87" s="167"/>
      <c r="M87" s="167">
        <f t="shared" si="8"/>
        <v>0</v>
      </c>
      <c r="N87" s="83">
        <f t="shared" si="9"/>
        <v>0</v>
      </c>
      <c r="O87" s="167">
        <f t="shared" si="13"/>
        <v>0</v>
      </c>
      <c r="P87" s="483" t="e">
        <f t="shared" si="14"/>
        <v>#DIV/0!</v>
      </c>
    </row>
    <row r="88" spans="1:16" ht="79.5" hidden="1" customHeight="1">
      <c r="A88" s="190"/>
      <c r="B88" s="559" t="s">
        <v>292</v>
      </c>
      <c r="C88" s="560"/>
      <c r="D88" s="561"/>
      <c r="E88" s="167"/>
      <c r="F88" s="167"/>
      <c r="G88" s="167"/>
      <c r="H88" s="167"/>
      <c r="I88" s="167"/>
      <c r="J88" s="167"/>
      <c r="K88" s="167"/>
      <c r="L88" s="167"/>
      <c r="M88" s="167">
        <f t="shared" si="8"/>
        <v>0</v>
      </c>
      <c r="N88" s="83">
        <f t="shared" si="9"/>
        <v>0</v>
      </c>
      <c r="O88" s="167">
        <f t="shared" si="13"/>
        <v>0</v>
      </c>
      <c r="P88" s="483" t="e">
        <f t="shared" si="14"/>
        <v>#DIV/0!</v>
      </c>
    </row>
    <row r="89" spans="1:16" ht="79.5" hidden="1" customHeight="1">
      <c r="A89" s="190"/>
      <c r="B89" s="559" t="s">
        <v>293</v>
      </c>
      <c r="C89" s="560"/>
      <c r="D89" s="561"/>
      <c r="E89" s="167"/>
      <c r="F89" s="167"/>
      <c r="G89" s="167"/>
      <c r="H89" s="167"/>
      <c r="I89" s="167"/>
      <c r="J89" s="167"/>
      <c r="K89" s="167"/>
      <c r="L89" s="167"/>
      <c r="M89" s="167">
        <f t="shared" ref="M89:M152" si="15">E89+G89+I89+K89</f>
        <v>0</v>
      </c>
      <c r="N89" s="83">
        <f t="shared" ref="N89:N152" si="16">F89+H89+J89+L89</f>
        <v>0</v>
      </c>
      <c r="O89" s="167">
        <f t="shared" si="13"/>
        <v>0</v>
      </c>
      <c r="P89" s="483" t="e">
        <f t="shared" si="14"/>
        <v>#DIV/0!</v>
      </c>
    </row>
    <row r="90" spans="1:16" ht="79.5" hidden="1" customHeight="1">
      <c r="A90" s="190"/>
      <c r="B90" s="559" t="s">
        <v>294</v>
      </c>
      <c r="C90" s="560"/>
      <c r="D90" s="561"/>
      <c r="E90" s="167"/>
      <c r="F90" s="167"/>
      <c r="G90" s="167"/>
      <c r="H90" s="167"/>
      <c r="I90" s="167"/>
      <c r="J90" s="167"/>
      <c r="K90" s="167"/>
      <c r="L90" s="167"/>
      <c r="M90" s="167">
        <f t="shared" si="15"/>
        <v>0</v>
      </c>
      <c r="N90" s="83">
        <f t="shared" si="16"/>
        <v>0</v>
      </c>
      <c r="O90" s="167">
        <f t="shared" si="13"/>
        <v>0</v>
      </c>
      <c r="P90" s="483" t="e">
        <f t="shared" si="14"/>
        <v>#DIV/0!</v>
      </c>
    </row>
    <row r="91" spans="1:16" ht="30.75" customHeight="1">
      <c r="A91" s="190"/>
      <c r="B91" s="450" t="s">
        <v>279</v>
      </c>
      <c r="C91" s="451"/>
      <c r="D91" s="452"/>
      <c r="E91" s="83"/>
      <c r="F91" s="83"/>
      <c r="G91" s="83"/>
      <c r="H91" s="83"/>
      <c r="I91" s="83"/>
      <c r="J91" s="83">
        <v>14.1</v>
      </c>
      <c r="K91" s="83"/>
      <c r="L91" s="83"/>
      <c r="M91" s="167">
        <f t="shared" si="15"/>
        <v>0</v>
      </c>
      <c r="N91" s="83">
        <f t="shared" si="16"/>
        <v>14.1</v>
      </c>
      <c r="O91" s="167">
        <f t="shared" si="13"/>
        <v>14.1</v>
      </c>
      <c r="P91" s="483" t="e">
        <f t="shared" si="14"/>
        <v>#DIV/0!</v>
      </c>
    </row>
    <row r="92" spans="1:16" ht="36.75" customHeight="1">
      <c r="A92" s="190"/>
      <c r="B92" s="450" t="s">
        <v>280</v>
      </c>
      <c r="C92" s="451"/>
      <c r="D92" s="452"/>
      <c r="E92" s="83"/>
      <c r="F92" s="83"/>
      <c r="G92" s="83"/>
      <c r="H92" s="83"/>
      <c r="I92" s="83"/>
      <c r="J92" s="83"/>
      <c r="K92" s="83"/>
      <c r="L92" s="83">
        <v>8.1999999999999993</v>
      </c>
      <c r="M92" s="167">
        <f t="shared" si="15"/>
        <v>0</v>
      </c>
      <c r="N92" s="83">
        <f t="shared" si="16"/>
        <v>8.1999999999999993</v>
      </c>
      <c r="O92" s="167">
        <f t="shared" si="13"/>
        <v>8.1999999999999993</v>
      </c>
      <c r="P92" s="483" t="e">
        <f t="shared" si="14"/>
        <v>#DIV/0!</v>
      </c>
    </row>
    <row r="93" spans="1:16" ht="30.75" customHeight="1">
      <c r="A93" s="190"/>
      <c r="B93" s="559" t="s">
        <v>398</v>
      </c>
      <c r="C93" s="560"/>
      <c r="D93" s="561"/>
      <c r="E93" s="83"/>
      <c r="F93" s="83"/>
      <c r="G93" s="83"/>
      <c r="H93" s="83"/>
      <c r="I93" s="83"/>
      <c r="J93" s="83"/>
      <c r="K93" s="83"/>
      <c r="L93" s="83">
        <v>0.3</v>
      </c>
      <c r="M93" s="167">
        <f t="shared" si="15"/>
        <v>0</v>
      </c>
      <c r="N93" s="83">
        <f t="shared" si="16"/>
        <v>0.3</v>
      </c>
      <c r="O93" s="167">
        <f t="shared" si="13"/>
        <v>0.3</v>
      </c>
      <c r="P93" s="483" t="e">
        <f t="shared" si="14"/>
        <v>#DIV/0!</v>
      </c>
    </row>
    <row r="94" spans="1:16" ht="30.75" customHeight="1">
      <c r="A94" s="190"/>
      <c r="B94" s="565" t="s">
        <v>281</v>
      </c>
      <c r="C94" s="566"/>
      <c r="D94" s="567"/>
      <c r="E94" s="83"/>
      <c r="F94" s="83"/>
      <c r="G94" s="83"/>
      <c r="H94" s="83"/>
      <c r="I94" s="83"/>
      <c r="J94" s="83"/>
      <c r="K94" s="83"/>
      <c r="L94" s="83">
        <v>0.1</v>
      </c>
      <c r="M94" s="167">
        <f t="shared" si="15"/>
        <v>0</v>
      </c>
      <c r="N94" s="83">
        <f t="shared" si="16"/>
        <v>0.1</v>
      </c>
      <c r="O94" s="167">
        <f t="shared" si="13"/>
        <v>0.1</v>
      </c>
      <c r="P94" s="483" t="e">
        <f t="shared" si="14"/>
        <v>#DIV/0!</v>
      </c>
    </row>
    <row r="95" spans="1:16" ht="36.75" customHeight="1">
      <c r="A95" s="190"/>
      <c r="B95" s="559" t="s">
        <v>434</v>
      </c>
      <c r="C95" s="560"/>
      <c r="D95" s="561"/>
      <c r="E95" s="83"/>
      <c r="F95" s="83"/>
      <c r="G95" s="83"/>
      <c r="H95" s="83"/>
      <c r="I95" s="83"/>
      <c r="J95" s="83"/>
      <c r="K95" s="83"/>
      <c r="L95" s="83">
        <v>1.6</v>
      </c>
      <c r="M95" s="167">
        <f t="shared" si="15"/>
        <v>0</v>
      </c>
      <c r="N95" s="83">
        <f t="shared" si="16"/>
        <v>1.6</v>
      </c>
      <c r="O95" s="167">
        <f t="shared" si="13"/>
        <v>1.6</v>
      </c>
      <c r="P95" s="483" t="e">
        <f t="shared" si="14"/>
        <v>#DIV/0!</v>
      </c>
    </row>
    <row r="96" spans="1:16" ht="36.75" customHeight="1">
      <c r="A96" s="190"/>
      <c r="B96" s="559" t="s">
        <v>435</v>
      </c>
      <c r="C96" s="560"/>
      <c r="D96" s="561"/>
      <c r="E96" s="83"/>
      <c r="F96" s="83"/>
      <c r="G96" s="83"/>
      <c r="H96" s="83"/>
      <c r="I96" s="83"/>
      <c r="J96" s="83"/>
      <c r="K96" s="83"/>
      <c r="L96" s="83">
        <v>4.2</v>
      </c>
      <c r="M96" s="167">
        <f t="shared" si="15"/>
        <v>0</v>
      </c>
      <c r="N96" s="83">
        <f t="shared" si="16"/>
        <v>4.2</v>
      </c>
      <c r="O96" s="167">
        <f t="shared" si="13"/>
        <v>4.2</v>
      </c>
      <c r="P96" s="483" t="e">
        <f t="shared" si="14"/>
        <v>#DIV/0!</v>
      </c>
    </row>
    <row r="97" spans="1:16" ht="29.25" customHeight="1">
      <c r="A97" s="190"/>
      <c r="B97" s="559" t="s">
        <v>436</v>
      </c>
      <c r="C97" s="560"/>
      <c r="D97" s="561"/>
      <c r="E97" s="83"/>
      <c r="F97" s="83"/>
      <c r="G97" s="83"/>
      <c r="H97" s="83"/>
      <c r="I97" s="83"/>
      <c r="J97" s="83"/>
      <c r="K97" s="83"/>
      <c r="L97" s="83">
        <v>1.2</v>
      </c>
      <c r="M97" s="167">
        <f t="shared" si="15"/>
        <v>0</v>
      </c>
      <c r="N97" s="83">
        <f t="shared" si="16"/>
        <v>1.2</v>
      </c>
      <c r="O97" s="167">
        <f t="shared" si="13"/>
        <v>1.2</v>
      </c>
      <c r="P97" s="483" t="e">
        <f t="shared" si="14"/>
        <v>#DIV/0!</v>
      </c>
    </row>
    <row r="98" spans="1:16" ht="30.75" customHeight="1">
      <c r="A98" s="190"/>
      <c r="B98" s="565" t="s">
        <v>284</v>
      </c>
      <c r="C98" s="566"/>
      <c r="D98" s="567"/>
      <c r="E98" s="83"/>
      <c r="F98" s="83"/>
      <c r="G98" s="83"/>
      <c r="H98" s="83"/>
      <c r="I98" s="83"/>
      <c r="J98" s="83"/>
      <c r="K98" s="83"/>
      <c r="L98" s="83">
        <v>0.2</v>
      </c>
      <c r="M98" s="167">
        <f t="shared" si="15"/>
        <v>0</v>
      </c>
      <c r="N98" s="83">
        <f t="shared" si="16"/>
        <v>0.2</v>
      </c>
      <c r="O98" s="167">
        <f t="shared" si="13"/>
        <v>0.2</v>
      </c>
      <c r="P98" s="483" t="e">
        <f t="shared" si="14"/>
        <v>#DIV/0!</v>
      </c>
    </row>
    <row r="99" spans="1:16" ht="27.75" customHeight="1">
      <c r="A99" s="190"/>
      <c r="B99" s="559" t="s">
        <v>285</v>
      </c>
      <c r="C99" s="560"/>
      <c r="D99" s="561"/>
      <c r="E99" s="83"/>
      <c r="F99" s="83"/>
      <c r="G99" s="83"/>
      <c r="H99" s="83"/>
      <c r="I99" s="83"/>
      <c r="J99" s="83"/>
      <c r="K99" s="83"/>
      <c r="L99" s="83">
        <v>0.5</v>
      </c>
      <c r="M99" s="167">
        <f t="shared" si="15"/>
        <v>0</v>
      </c>
      <c r="N99" s="83">
        <f t="shared" si="16"/>
        <v>0.5</v>
      </c>
      <c r="O99" s="167">
        <f t="shared" si="13"/>
        <v>0.5</v>
      </c>
      <c r="P99" s="483" t="e">
        <f t="shared" si="14"/>
        <v>#DIV/0!</v>
      </c>
    </row>
    <row r="100" spans="1:16" ht="36.75" customHeight="1">
      <c r="A100" s="190"/>
      <c r="B100" s="562" t="s">
        <v>286</v>
      </c>
      <c r="C100" s="563"/>
      <c r="D100" s="564"/>
      <c r="E100" s="83"/>
      <c r="F100" s="83"/>
      <c r="G100" s="83"/>
      <c r="H100" s="83"/>
      <c r="I100" s="83"/>
      <c r="J100" s="83"/>
      <c r="K100" s="83"/>
      <c r="L100" s="83">
        <v>0.7</v>
      </c>
      <c r="M100" s="167">
        <f t="shared" si="15"/>
        <v>0</v>
      </c>
      <c r="N100" s="83">
        <f t="shared" si="16"/>
        <v>0.7</v>
      </c>
      <c r="O100" s="167">
        <f t="shared" si="13"/>
        <v>0.7</v>
      </c>
      <c r="P100" s="483" t="e">
        <f t="shared" si="14"/>
        <v>#DIV/0!</v>
      </c>
    </row>
    <row r="101" spans="1:16" ht="27.75" customHeight="1">
      <c r="A101" s="190"/>
      <c r="B101" s="559" t="s">
        <v>287</v>
      </c>
      <c r="C101" s="560"/>
      <c r="D101" s="561"/>
      <c r="E101" s="83"/>
      <c r="F101" s="83"/>
      <c r="G101" s="83"/>
      <c r="H101" s="83"/>
      <c r="I101" s="83"/>
      <c r="J101" s="83"/>
      <c r="K101" s="83"/>
      <c r="L101" s="83">
        <v>1.9</v>
      </c>
      <c r="M101" s="167">
        <f t="shared" si="15"/>
        <v>0</v>
      </c>
      <c r="N101" s="83">
        <f t="shared" si="16"/>
        <v>1.9</v>
      </c>
      <c r="O101" s="167">
        <f t="shared" si="13"/>
        <v>1.9</v>
      </c>
      <c r="P101" s="483" t="e">
        <f t="shared" si="14"/>
        <v>#DIV/0!</v>
      </c>
    </row>
    <row r="102" spans="1:16" ht="27.75" customHeight="1">
      <c r="A102" s="190"/>
      <c r="B102" s="559" t="s">
        <v>288</v>
      </c>
      <c r="C102" s="560"/>
      <c r="D102" s="561"/>
      <c r="E102" s="83"/>
      <c r="F102" s="83"/>
      <c r="G102" s="83"/>
      <c r="H102" s="83"/>
      <c r="I102" s="83"/>
      <c r="J102" s="83"/>
      <c r="K102" s="83"/>
      <c r="L102" s="83">
        <v>2.1</v>
      </c>
      <c r="M102" s="167">
        <f t="shared" si="15"/>
        <v>0</v>
      </c>
      <c r="N102" s="83">
        <f t="shared" si="16"/>
        <v>2.1</v>
      </c>
      <c r="O102" s="167">
        <f t="shared" si="13"/>
        <v>2.1</v>
      </c>
      <c r="P102" s="483" t="e">
        <f t="shared" si="14"/>
        <v>#DIV/0!</v>
      </c>
    </row>
    <row r="103" spans="1:16" ht="24" customHeight="1">
      <c r="A103" s="190"/>
      <c r="B103" s="559" t="s">
        <v>289</v>
      </c>
      <c r="C103" s="560"/>
      <c r="D103" s="561"/>
      <c r="E103" s="83"/>
      <c r="F103" s="83"/>
      <c r="G103" s="83"/>
      <c r="H103" s="83"/>
      <c r="I103" s="83"/>
      <c r="J103" s="83"/>
      <c r="K103" s="83"/>
      <c r="L103" s="83">
        <v>1.7</v>
      </c>
      <c r="M103" s="167">
        <f t="shared" si="15"/>
        <v>0</v>
      </c>
      <c r="N103" s="83">
        <f t="shared" si="16"/>
        <v>1.7</v>
      </c>
      <c r="O103" s="167">
        <f t="shared" si="13"/>
        <v>1.7</v>
      </c>
      <c r="P103" s="483" t="e">
        <f t="shared" si="14"/>
        <v>#DIV/0!</v>
      </c>
    </row>
    <row r="104" spans="1:16" ht="27.75" customHeight="1">
      <c r="A104" s="190"/>
      <c r="B104" s="559" t="s">
        <v>290</v>
      </c>
      <c r="C104" s="560"/>
      <c r="D104" s="561"/>
      <c r="E104" s="83"/>
      <c r="F104" s="83"/>
      <c r="G104" s="83"/>
      <c r="H104" s="83"/>
      <c r="I104" s="83"/>
      <c r="J104" s="83"/>
      <c r="K104" s="83"/>
      <c r="L104" s="83">
        <v>1</v>
      </c>
      <c r="M104" s="167">
        <f t="shared" si="15"/>
        <v>0</v>
      </c>
      <c r="N104" s="83">
        <f t="shared" si="16"/>
        <v>1</v>
      </c>
      <c r="O104" s="167">
        <f t="shared" si="13"/>
        <v>1</v>
      </c>
      <c r="P104" s="483" t="e">
        <f t="shared" si="14"/>
        <v>#DIV/0!</v>
      </c>
    </row>
    <row r="105" spans="1:16" ht="29.25" customHeight="1">
      <c r="A105" s="190"/>
      <c r="B105" s="559" t="s">
        <v>437</v>
      </c>
      <c r="C105" s="560"/>
      <c r="D105" s="561"/>
      <c r="E105" s="83"/>
      <c r="F105" s="83"/>
      <c r="G105" s="83"/>
      <c r="H105" s="83"/>
      <c r="I105" s="83"/>
      <c r="J105" s="83"/>
      <c r="K105" s="83"/>
      <c r="L105" s="83">
        <v>1.3</v>
      </c>
      <c r="M105" s="167">
        <f t="shared" si="15"/>
        <v>0</v>
      </c>
      <c r="N105" s="83">
        <f t="shared" si="16"/>
        <v>1.3</v>
      </c>
      <c r="O105" s="167">
        <f t="shared" si="13"/>
        <v>1.3</v>
      </c>
      <c r="P105" s="483" t="e">
        <f t="shared" si="14"/>
        <v>#DIV/0!</v>
      </c>
    </row>
    <row r="106" spans="1:16" ht="29.25" customHeight="1">
      <c r="A106" s="190"/>
      <c r="B106" s="559" t="s">
        <v>292</v>
      </c>
      <c r="C106" s="560"/>
      <c r="D106" s="561"/>
      <c r="E106" s="83"/>
      <c r="F106" s="83"/>
      <c r="G106" s="83"/>
      <c r="H106" s="83"/>
      <c r="I106" s="83"/>
      <c r="J106" s="83"/>
      <c r="K106" s="83"/>
      <c r="L106" s="83">
        <v>0.4</v>
      </c>
      <c r="M106" s="167">
        <f t="shared" si="15"/>
        <v>0</v>
      </c>
      <c r="N106" s="83">
        <f t="shared" si="16"/>
        <v>0.4</v>
      </c>
      <c r="O106" s="167">
        <f t="shared" si="13"/>
        <v>0.4</v>
      </c>
      <c r="P106" s="483" t="e">
        <f t="shared" si="14"/>
        <v>#DIV/0!</v>
      </c>
    </row>
    <row r="107" spans="1:16" ht="27" customHeight="1">
      <c r="A107" s="190"/>
      <c r="B107" s="559" t="s">
        <v>293</v>
      </c>
      <c r="C107" s="560"/>
      <c r="D107" s="561"/>
      <c r="E107" s="83"/>
      <c r="F107" s="83"/>
      <c r="G107" s="83"/>
      <c r="H107" s="83"/>
      <c r="I107" s="83"/>
      <c r="J107" s="83"/>
      <c r="K107" s="83"/>
      <c r="L107" s="83">
        <v>2.2000000000000002</v>
      </c>
      <c r="M107" s="167">
        <f t="shared" si="15"/>
        <v>0</v>
      </c>
      <c r="N107" s="83">
        <f t="shared" si="16"/>
        <v>2.2000000000000002</v>
      </c>
      <c r="O107" s="167">
        <f t="shared" si="13"/>
        <v>2.2000000000000002</v>
      </c>
      <c r="P107" s="483" t="e">
        <f t="shared" si="14"/>
        <v>#DIV/0!</v>
      </c>
    </row>
    <row r="108" spans="1:16" ht="27" customHeight="1">
      <c r="A108" s="190"/>
      <c r="B108" s="559" t="s">
        <v>294</v>
      </c>
      <c r="C108" s="560"/>
      <c r="D108" s="561"/>
      <c r="E108" s="83"/>
      <c r="F108" s="83"/>
      <c r="G108" s="83"/>
      <c r="H108" s="83"/>
      <c r="I108" s="83"/>
      <c r="J108" s="83"/>
      <c r="K108" s="83"/>
      <c r="L108" s="83">
        <v>1.1000000000000001</v>
      </c>
      <c r="M108" s="167">
        <f t="shared" si="15"/>
        <v>0</v>
      </c>
      <c r="N108" s="83">
        <f t="shared" si="16"/>
        <v>1.1000000000000001</v>
      </c>
      <c r="O108" s="167">
        <f t="shared" si="13"/>
        <v>1.1000000000000001</v>
      </c>
      <c r="P108" s="483" t="e">
        <f t="shared" si="14"/>
        <v>#DIV/0!</v>
      </c>
    </row>
    <row r="109" spans="1:16" ht="63" customHeight="1">
      <c r="A109" s="190"/>
      <c r="B109" s="562" t="s">
        <v>295</v>
      </c>
      <c r="C109" s="563"/>
      <c r="D109" s="564"/>
      <c r="E109" s="83"/>
      <c r="F109" s="83"/>
      <c r="G109" s="83"/>
      <c r="H109" s="83"/>
      <c r="I109" s="83"/>
      <c r="J109" s="83"/>
      <c r="K109" s="83"/>
      <c r="L109" s="83">
        <v>1.7</v>
      </c>
      <c r="M109" s="167">
        <f t="shared" si="15"/>
        <v>0</v>
      </c>
      <c r="N109" s="83">
        <f t="shared" si="16"/>
        <v>1.7</v>
      </c>
      <c r="O109" s="167">
        <f t="shared" si="13"/>
        <v>1.7</v>
      </c>
      <c r="P109" s="483" t="e">
        <f t="shared" si="14"/>
        <v>#DIV/0!</v>
      </c>
    </row>
    <row r="110" spans="1:16" ht="23.25" customHeight="1">
      <c r="A110" s="190"/>
      <c r="B110" s="559" t="s">
        <v>296</v>
      </c>
      <c r="C110" s="560"/>
      <c r="D110" s="561"/>
      <c r="E110" s="83"/>
      <c r="F110" s="83"/>
      <c r="G110" s="83"/>
      <c r="H110" s="83"/>
      <c r="I110" s="83"/>
      <c r="J110" s="83"/>
      <c r="K110" s="83"/>
      <c r="L110" s="83">
        <v>2.1</v>
      </c>
      <c r="M110" s="167">
        <f t="shared" si="15"/>
        <v>0</v>
      </c>
      <c r="N110" s="83">
        <f t="shared" si="16"/>
        <v>2.1</v>
      </c>
      <c r="O110" s="167">
        <f t="shared" si="13"/>
        <v>2.1</v>
      </c>
      <c r="P110" s="483" t="e">
        <f t="shared" si="14"/>
        <v>#DIV/0!</v>
      </c>
    </row>
    <row r="111" spans="1:16" ht="23.25" customHeight="1">
      <c r="A111" s="190"/>
      <c r="B111" s="559" t="s">
        <v>297</v>
      </c>
      <c r="C111" s="560"/>
      <c r="D111" s="561"/>
      <c r="E111" s="83"/>
      <c r="F111" s="83"/>
      <c r="G111" s="83"/>
      <c r="H111" s="83"/>
      <c r="I111" s="83"/>
      <c r="J111" s="83"/>
      <c r="K111" s="83"/>
      <c r="L111" s="83">
        <v>2.9</v>
      </c>
      <c r="M111" s="167">
        <f t="shared" si="15"/>
        <v>0</v>
      </c>
      <c r="N111" s="83">
        <f t="shared" si="16"/>
        <v>2.9</v>
      </c>
      <c r="O111" s="167">
        <f t="shared" si="13"/>
        <v>2.9</v>
      </c>
      <c r="P111" s="483" t="e">
        <f t="shared" si="14"/>
        <v>#DIV/0!</v>
      </c>
    </row>
    <row r="112" spans="1:16" ht="23.25" customHeight="1">
      <c r="A112" s="190"/>
      <c r="B112" s="559" t="s">
        <v>298</v>
      </c>
      <c r="C112" s="560"/>
      <c r="D112" s="561"/>
      <c r="E112" s="83"/>
      <c r="F112" s="83"/>
      <c r="G112" s="83"/>
      <c r="H112" s="83"/>
      <c r="I112" s="83"/>
      <c r="J112" s="83"/>
      <c r="K112" s="83"/>
      <c r="L112" s="83">
        <v>0.7</v>
      </c>
      <c r="M112" s="167">
        <f t="shared" si="15"/>
        <v>0</v>
      </c>
      <c r="N112" s="83">
        <f t="shared" si="16"/>
        <v>0.7</v>
      </c>
      <c r="O112" s="167">
        <f t="shared" si="13"/>
        <v>0.7</v>
      </c>
      <c r="P112" s="483" t="e">
        <f t="shared" si="14"/>
        <v>#DIV/0!</v>
      </c>
    </row>
    <row r="113" spans="1:16" ht="23.25" customHeight="1">
      <c r="A113" s="190"/>
      <c r="B113" s="559" t="s">
        <v>438</v>
      </c>
      <c r="C113" s="560"/>
      <c r="D113" s="561"/>
      <c r="E113" s="83"/>
      <c r="F113" s="83"/>
      <c r="G113" s="83"/>
      <c r="H113" s="83"/>
      <c r="I113" s="83"/>
      <c r="J113" s="83"/>
      <c r="K113" s="83"/>
      <c r="L113" s="83">
        <v>1.2</v>
      </c>
      <c r="M113" s="167">
        <f t="shared" si="15"/>
        <v>0</v>
      </c>
      <c r="N113" s="83">
        <f t="shared" si="16"/>
        <v>1.2</v>
      </c>
      <c r="O113" s="167">
        <f t="shared" si="13"/>
        <v>1.2</v>
      </c>
      <c r="P113" s="483" t="e">
        <f t="shared" si="14"/>
        <v>#DIV/0!</v>
      </c>
    </row>
    <row r="114" spans="1:16" ht="23.25" customHeight="1">
      <c r="A114" s="190"/>
      <c r="B114" s="559" t="s">
        <v>299</v>
      </c>
      <c r="C114" s="560"/>
      <c r="D114" s="561"/>
      <c r="E114" s="83"/>
      <c r="F114" s="83"/>
      <c r="G114" s="83"/>
      <c r="H114" s="83"/>
      <c r="I114" s="83"/>
      <c r="J114" s="83"/>
      <c r="K114" s="83"/>
      <c r="L114" s="83">
        <v>0.2</v>
      </c>
      <c r="M114" s="167">
        <f t="shared" si="15"/>
        <v>0</v>
      </c>
      <c r="N114" s="83">
        <f t="shared" si="16"/>
        <v>0.2</v>
      </c>
      <c r="O114" s="167">
        <f t="shared" si="13"/>
        <v>0.2</v>
      </c>
      <c r="P114" s="483" t="e">
        <f t="shared" si="14"/>
        <v>#DIV/0!</v>
      </c>
    </row>
    <row r="115" spans="1:16" ht="42" customHeight="1">
      <c r="A115" s="190"/>
      <c r="B115" s="562" t="s">
        <v>300</v>
      </c>
      <c r="C115" s="563"/>
      <c r="D115" s="564"/>
      <c r="E115" s="83"/>
      <c r="F115" s="83"/>
      <c r="G115" s="83"/>
      <c r="H115" s="83"/>
      <c r="I115" s="83"/>
      <c r="J115" s="83">
        <v>4.5</v>
      </c>
      <c r="K115" s="83"/>
      <c r="L115" s="83"/>
      <c r="M115" s="167">
        <f t="shared" si="15"/>
        <v>0</v>
      </c>
      <c r="N115" s="83">
        <f t="shared" si="16"/>
        <v>4.5</v>
      </c>
      <c r="O115" s="167">
        <f t="shared" si="13"/>
        <v>4.5</v>
      </c>
      <c r="P115" s="483" t="e">
        <f t="shared" si="14"/>
        <v>#DIV/0!</v>
      </c>
    </row>
    <row r="116" spans="1:16" ht="23.25" customHeight="1">
      <c r="A116" s="190"/>
      <c r="B116" s="559" t="s">
        <v>301</v>
      </c>
      <c r="C116" s="560"/>
      <c r="D116" s="561"/>
      <c r="E116" s="83"/>
      <c r="F116" s="83"/>
      <c r="G116" s="83"/>
      <c r="H116" s="83"/>
      <c r="I116" s="83"/>
      <c r="J116" s="83"/>
      <c r="K116" s="83"/>
      <c r="L116" s="83">
        <v>1.2</v>
      </c>
      <c r="M116" s="167">
        <f t="shared" si="15"/>
        <v>0</v>
      </c>
      <c r="N116" s="83">
        <f t="shared" si="16"/>
        <v>1.2</v>
      </c>
      <c r="O116" s="167">
        <f t="shared" si="13"/>
        <v>1.2</v>
      </c>
      <c r="P116" s="483" t="e">
        <f t="shared" si="14"/>
        <v>#DIV/0!</v>
      </c>
    </row>
    <row r="117" spans="1:16" ht="23.25" customHeight="1">
      <c r="A117" s="190"/>
      <c r="B117" s="559" t="s">
        <v>302</v>
      </c>
      <c r="C117" s="560"/>
      <c r="D117" s="561"/>
      <c r="E117" s="83"/>
      <c r="F117" s="83"/>
      <c r="G117" s="83"/>
      <c r="H117" s="83"/>
      <c r="I117" s="83"/>
      <c r="J117" s="83"/>
      <c r="K117" s="83"/>
      <c r="L117" s="83">
        <v>0.7</v>
      </c>
      <c r="M117" s="167">
        <f t="shared" si="15"/>
        <v>0</v>
      </c>
      <c r="N117" s="83">
        <f t="shared" si="16"/>
        <v>0.7</v>
      </c>
      <c r="O117" s="167">
        <f t="shared" si="13"/>
        <v>0.7</v>
      </c>
      <c r="P117" s="483" t="e">
        <f t="shared" si="14"/>
        <v>#DIV/0!</v>
      </c>
    </row>
    <row r="118" spans="1:16" ht="23.25" customHeight="1">
      <c r="A118" s="190"/>
      <c r="B118" s="559" t="s">
        <v>303</v>
      </c>
      <c r="C118" s="560"/>
      <c r="D118" s="561"/>
      <c r="E118" s="83"/>
      <c r="F118" s="83"/>
      <c r="G118" s="83"/>
      <c r="H118" s="83"/>
      <c r="I118" s="83"/>
      <c r="J118" s="83"/>
      <c r="K118" s="83"/>
      <c r="L118" s="83">
        <v>1</v>
      </c>
      <c r="M118" s="167">
        <f t="shared" si="15"/>
        <v>0</v>
      </c>
      <c r="N118" s="83">
        <f t="shared" si="16"/>
        <v>1</v>
      </c>
      <c r="O118" s="167">
        <f t="shared" si="13"/>
        <v>1</v>
      </c>
      <c r="P118" s="483" t="e">
        <f t="shared" si="14"/>
        <v>#DIV/0!</v>
      </c>
    </row>
    <row r="119" spans="1:16" ht="23.25" customHeight="1">
      <c r="A119" s="190"/>
      <c r="B119" s="559" t="s">
        <v>304</v>
      </c>
      <c r="C119" s="560"/>
      <c r="D119" s="561"/>
      <c r="E119" s="83"/>
      <c r="F119" s="83"/>
      <c r="G119" s="83"/>
      <c r="H119" s="83"/>
      <c r="I119" s="83"/>
      <c r="J119" s="83"/>
      <c r="K119" s="83"/>
      <c r="L119" s="83">
        <v>14.7</v>
      </c>
      <c r="M119" s="167">
        <f t="shared" si="15"/>
        <v>0</v>
      </c>
      <c r="N119" s="83">
        <f t="shared" si="16"/>
        <v>14.7</v>
      </c>
      <c r="O119" s="167">
        <f t="shared" si="13"/>
        <v>14.7</v>
      </c>
      <c r="P119" s="483" t="e">
        <f t="shared" si="14"/>
        <v>#DIV/0!</v>
      </c>
    </row>
    <row r="120" spans="1:16" ht="34.5" customHeight="1">
      <c r="A120" s="190"/>
      <c r="B120" s="562" t="s">
        <v>305</v>
      </c>
      <c r="C120" s="563"/>
      <c r="D120" s="564"/>
      <c r="E120" s="83"/>
      <c r="F120" s="83"/>
      <c r="G120" s="83"/>
      <c r="H120" s="83"/>
      <c r="I120" s="83"/>
      <c r="J120" s="83"/>
      <c r="K120" s="83"/>
      <c r="L120" s="83">
        <v>17.399999999999999</v>
      </c>
      <c r="M120" s="167">
        <f t="shared" si="15"/>
        <v>0</v>
      </c>
      <c r="N120" s="83">
        <f t="shared" si="16"/>
        <v>17.399999999999999</v>
      </c>
      <c r="O120" s="167">
        <f t="shared" si="13"/>
        <v>17.399999999999999</v>
      </c>
      <c r="P120" s="483" t="e">
        <f t="shared" si="14"/>
        <v>#DIV/0!</v>
      </c>
    </row>
    <row r="121" spans="1:16" ht="30.75" customHeight="1">
      <c r="A121" s="190"/>
      <c r="B121" s="562" t="s">
        <v>306</v>
      </c>
      <c r="C121" s="563"/>
      <c r="D121" s="564"/>
      <c r="E121" s="83"/>
      <c r="F121" s="83"/>
      <c r="G121" s="83"/>
      <c r="H121" s="83"/>
      <c r="I121" s="83"/>
      <c r="J121" s="83"/>
      <c r="K121" s="83"/>
      <c r="L121" s="83">
        <v>18.8</v>
      </c>
      <c r="M121" s="167">
        <f t="shared" si="15"/>
        <v>0</v>
      </c>
      <c r="N121" s="83">
        <f t="shared" si="16"/>
        <v>18.8</v>
      </c>
      <c r="O121" s="167">
        <f t="shared" si="13"/>
        <v>18.8</v>
      </c>
      <c r="P121" s="483" t="e">
        <f t="shared" si="14"/>
        <v>#DIV/0!</v>
      </c>
    </row>
    <row r="122" spans="1:16" ht="28.5" customHeight="1">
      <c r="A122" s="190"/>
      <c r="B122" s="562" t="s">
        <v>307</v>
      </c>
      <c r="C122" s="563"/>
      <c r="D122" s="564"/>
      <c r="E122" s="83"/>
      <c r="F122" s="83"/>
      <c r="G122" s="83"/>
      <c r="H122" s="83"/>
      <c r="I122" s="83"/>
      <c r="J122" s="83"/>
      <c r="K122" s="83"/>
      <c r="L122" s="83">
        <v>6.9</v>
      </c>
      <c r="M122" s="167">
        <f t="shared" si="15"/>
        <v>0</v>
      </c>
      <c r="N122" s="83">
        <f t="shared" si="16"/>
        <v>6.9</v>
      </c>
      <c r="O122" s="167">
        <f t="shared" si="13"/>
        <v>6.9</v>
      </c>
      <c r="P122" s="483" t="e">
        <f t="shared" si="14"/>
        <v>#DIV/0!</v>
      </c>
    </row>
    <row r="123" spans="1:16" ht="34.5" customHeight="1">
      <c r="A123" s="190"/>
      <c r="B123" s="562" t="s">
        <v>439</v>
      </c>
      <c r="C123" s="563"/>
      <c r="D123" s="564"/>
      <c r="E123" s="83"/>
      <c r="F123" s="83"/>
      <c r="G123" s="83"/>
      <c r="H123" s="83"/>
      <c r="I123" s="83"/>
      <c r="J123" s="83"/>
      <c r="K123" s="83"/>
      <c r="L123" s="83">
        <v>29.8</v>
      </c>
      <c r="M123" s="167">
        <f t="shared" si="15"/>
        <v>0</v>
      </c>
      <c r="N123" s="83">
        <f t="shared" si="16"/>
        <v>29.8</v>
      </c>
      <c r="O123" s="167">
        <f t="shared" si="13"/>
        <v>29.8</v>
      </c>
      <c r="P123" s="483" t="e">
        <f t="shared" si="14"/>
        <v>#DIV/0!</v>
      </c>
    </row>
    <row r="124" spans="1:16" ht="40.5" customHeight="1">
      <c r="A124" s="190"/>
      <c r="B124" s="562" t="s">
        <v>399</v>
      </c>
      <c r="C124" s="563"/>
      <c r="D124" s="564"/>
      <c r="E124" s="83"/>
      <c r="F124" s="83"/>
      <c r="G124" s="83"/>
      <c r="H124" s="83"/>
      <c r="I124" s="83"/>
      <c r="J124" s="83"/>
      <c r="K124" s="83"/>
      <c r="L124" s="83">
        <v>12.4</v>
      </c>
      <c r="M124" s="167">
        <f t="shared" si="15"/>
        <v>0</v>
      </c>
      <c r="N124" s="83">
        <f t="shared" si="16"/>
        <v>12.4</v>
      </c>
      <c r="O124" s="167">
        <f t="shared" si="13"/>
        <v>12.4</v>
      </c>
      <c r="P124" s="483" t="e">
        <f t="shared" si="14"/>
        <v>#DIV/0!</v>
      </c>
    </row>
    <row r="125" spans="1:16" ht="40.5" customHeight="1">
      <c r="A125" s="190"/>
      <c r="B125" s="562" t="s">
        <v>400</v>
      </c>
      <c r="C125" s="563"/>
      <c r="D125" s="564"/>
      <c r="E125" s="83"/>
      <c r="F125" s="83"/>
      <c r="G125" s="83"/>
      <c r="H125" s="83"/>
      <c r="I125" s="83"/>
      <c r="J125" s="83"/>
      <c r="K125" s="83"/>
      <c r="L125" s="83">
        <v>5.2</v>
      </c>
      <c r="M125" s="167">
        <f t="shared" si="15"/>
        <v>0</v>
      </c>
      <c r="N125" s="83">
        <f t="shared" si="16"/>
        <v>5.2</v>
      </c>
      <c r="O125" s="167">
        <f t="shared" si="13"/>
        <v>5.2</v>
      </c>
      <c r="P125" s="483" t="e">
        <f t="shared" si="14"/>
        <v>#DIV/0!</v>
      </c>
    </row>
    <row r="126" spans="1:16" ht="44.25" customHeight="1">
      <c r="A126" s="190"/>
      <c r="B126" s="562" t="s">
        <v>401</v>
      </c>
      <c r="C126" s="563"/>
      <c r="D126" s="564"/>
      <c r="E126" s="83"/>
      <c r="F126" s="83"/>
      <c r="G126" s="83"/>
      <c r="H126" s="83"/>
      <c r="I126" s="83"/>
      <c r="J126" s="83"/>
      <c r="K126" s="83"/>
      <c r="L126" s="83">
        <v>12.4</v>
      </c>
      <c r="M126" s="167">
        <f t="shared" si="15"/>
        <v>0</v>
      </c>
      <c r="N126" s="83">
        <f t="shared" si="16"/>
        <v>12.4</v>
      </c>
      <c r="O126" s="167">
        <f t="shared" si="13"/>
        <v>12.4</v>
      </c>
      <c r="P126" s="483" t="e">
        <f t="shared" si="14"/>
        <v>#DIV/0!</v>
      </c>
    </row>
    <row r="127" spans="1:16" ht="44.25" customHeight="1">
      <c r="A127" s="190"/>
      <c r="B127" s="562" t="s">
        <v>402</v>
      </c>
      <c r="C127" s="563"/>
      <c r="D127" s="564"/>
      <c r="E127" s="83"/>
      <c r="F127" s="83"/>
      <c r="G127" s="83"/>
      <c r="H127" s="83"/>
      <c r="I127" s="83"/>
      <c r="J127" s="83"/>
      <c r="K127" s="83"/>
      <c r="L127" s="83">
        <v>5.2</v>
      </c>
      <c r="M127" s="167">
        <f t="shared" si="15"/>
        <v>0</v>
      </c>
      <c r="N127" s="83">
        <f t="shared" si="16"/>
        <v>5.2</v>
      </c>
      <c r="O127" s="167">
        <f t="shared" si="13"/>
        <v>5.2</v>
      </c>
      <c r="P127" s="483" t="e">
        <f t="shared" si="14"/>
        <v>#DIV/0!</v>
      </c>
    </row>
    <row r="128" spans="1:16" ht="40.5" customHeight="1">
      <c r="A128" s="190"/>
      <c r="B128" s="562" t="s">
        <v>308</v>
      </c>
      <c r="C128" s="563"/>
      <c r="D128" s="564"/>
      <c r="E128" s="83"/>
      <c r="F128" s="83"/>
      <c r="G128" s="83"/>
      <c r="H128" s="83"/>
      <c r="I128" s="83"/>
      <c r="J128" s="83"/>
      <c r="K128" s="83"/>
      <c r="L128" s="83">
        <v>7</v>
      </c>
      <c r="M128" s="167">
        <f t="shared" si="15"/>
        <v>0</v>
      </c>
      <c r="N128" s="83">
        <f t="shared" si="16"/>
        <v>7</v>
      </c>
      <c r="O128" s="167">
        <f t="shared" si="13"/>
        <v>7</v>
      </c>
      <c r="P128" s="483" t="e">
        <f t="shared" si="14"/>
        <v>#DIV/0!</v>
      </c>
    </row>
    <row r="129" spans="1:16" ht="43.5" customHeight="1">
      <c r="A129" s="190"/>
      <c r="B129" s="562" t="s">
        <v>309</v>
      </c>
      <c r="C129" s="563"/>
      <c r="D129" s="564"/>
      <c r="E129" s="83"/>
      <c r="F129" s="83"/>
      <c r="G129" s="83"/>
      <c r="H129" s="83"/>
      <c r="I129" s="83"/>
      <c r="J129" s="83"/>
      <c r="K129" s="83"/>
      <c r="L129" s="83">
        <v>2.9</v>
      </c>
      <c r="M129" s="167">
        <f t="shared" si="15"/>
        <v>0</v>
      </c>
      <c r="N129" s="83">
        <f t="shared" si="16"/>
        <v>2.9</v>
      </c>
      <c r="O129" s="167">
        <f t="shared" si="13"/>
        <v>2.9</v>
      </c>
      <c r="P129" s="483" t="e">
        <f t="shared" si="14"/>
        <v>#DIV/0!</v>
      </c>
    </row>
    <row r="130" spans="1:16" ht="36.75" customHeight="1">
      <c r="A130" s="190"/>
      <c r="B130" s="562" t="s">
        <v>310</v>
      </c>
      <c r="C130" s="563"/>
      <c r="D130" s="564"/>
      <c r="E130" s="83"/>
      <c r="F130" s="83"/>
      <c r="G130" s="83"/>
      <c r="H130" s="83"/>
      <c r="I130" s="83"/>
      <c r="J130" s="83"/>
      <c r="K130" s="83"/>
      <c r="L130" s="83">
        <v>11</v>
      </c>
      <c r="M130" s="167">
        <f t="shared" si="15"/>
        <v>0</v>
      </c>
      <c r="N130" s="83">
        <f t="shared" si="16"/>
        <v>11</v>
      </c>
      <c r="O130" s="167">
        <f t="shared" si="13"/>
        <v>11</v>
      </c>
      <c r="P130" s="483" t="e">
        <f t="shared" si="14"/>
        <v>#DIV/0!</v>
      </c>
    </row>
    <row r="131" spans="1:16" ht="27" customHeight="1">
      <c r="A131" s="190"/>
      <c r="B131" s="559" t="s">
        <v>403</v>
      </c>
      <c r="C131" s="560"/>
      <c r="D131" s="561"/>
      <c r="E131" s="83"/>
      <c r="F131" s="83"/>
      <c r="G131" s="83"/>
      <c r="H131" s="83"/>
      <c r="I131" s="83"/>
      <c r="J131" s="83"/>
      <c r="K131" s="83"/>
      <c r="L131" s="83">
        <v>1.6</v>
      </c>
      <c r="M131" s="167">
        <f t="shared" si="15"/>
        <v>0</v>
      </c>
      <c r="N131" s="83">
        <f t="shared" si="16"/>
        <v>1.6</v>
      </c>
      <c r="O131" s="167">
        <f t="shared" si="13"/>
        <v>1.6</v>
      </c>
      <c r="P131" s="483" t="e">
        <f t="shared" si="14"/>
        <v>#DIV/0!</v>
      </c>
    </row>
    <row r="132" spans="1:16" ht="27" customHeight="1">
      <c r="A132" s="190"/>
      <c r="B132" s="559" t="s">
        <v>311</v>
      </c>
      <c r="C132" s="560"/>
      <c r="D132" s="561"/>
      <c r="E132" s="83"/>
      <c r="F132" s="83"/>
      <c r="G132" s="83"/>
      <c r="H132" s="83"/>
      <c r="I132" s="83"/>
      <c r="J132" s="83"/>
      <c r="K132" s="83"/>
      <c r="L132" s="83">
        <v>4.8</v>
      </c>
      <c r="M132" s="167">
        <f t="shared" si="15"/>
        <v>0</v>
      </c>
      <c r="N132" s="83">
        <f t="shared" si="16"/>
        <v>4.8</v>
      </c>
      <c r="O132" s="167">
        <f t="shared" si="13"/>
        <v>4.8</v>
      </c>
      <c r="P132" s="483" t="e">
        <f t="shared" si="14"/>
        <v>#DIV/0!</v>
      </c>
    </row>
    <row r="133" spans="1:16" ht="24" customHeight="1">
      <c r="A133" s="190"/>
      <c r="B133" s="559" t="s">
        <v>440</v>
      </c>
      <c r="C133" s="560"/>
      <c r="D133" s="561"/>
      <c r="E133" s="83"/>
      <c r="F133" s="83"/>
      <c r="G133" s="83"/>
      <c r="H133" s="83"/>
      <c r="I133" s="83"/>
      <c r="J133" s="83"/>
      <c r="K133" s="83"/>
      <c r="L133" s="83">
        <v>14.3</v>
      </c>
      <c r="M133" s="167">
        <f t="shared" si="15"/>
        <v>0</v>
      </c>
      <c r="N133" s="83">
        <f t="shared" si="16"/>
        <v>14.3</v>
      </c>
      <c r="O133" s="167">
        <f t="shared" si="13"/>
        <v>14.3</v>
      </c>
      <c r="P133" s="483" t="e">
        <f t="shared" si="14"/>
        <v>#DIV/0!</v>
      </c>
    </row>
    <row r="134" spans="1:16" ht="27.75" customHeight="1">
      <c r="A134" s="190"/>
      <c r="B134" s="559" t="s">
        <v>404</v>
      </c>
      <c r="C134" s="560"/>
      <c r="D134" s="561"/>
      <c r="E134" s="83"/>
      <c r="F134" s="83"/>
      <c r="G134" s="83"/>
      <c r="H134" s="83"/>
      <c r="I134" s="83"/>
      <c r="J134" s="83"/>
      <c r="K134" s="83"/>
      <c r="L134" s="83">
        <v>1.4</v>
      </c>
      <c r="M134" s="167">
        <f t="shared" si="15"/>
        <v>0</v>
      </c>
      <c r="N134" s="83">
        <f t="shared" si="16"/>
        <v>1.4</v>
      </c>
      <c r="O134" s="167">
        <f t="shared" si="13"/>
        <v>1.4</v>
      </c>
      <c r="P134" s="483" t="e">
        <f t="shared" si="14"/>
        <v>#DIV/0!</v>
      </c>
    </row>
    <row r="135" spans="1:16" ht="30.75" customHeight="1">
      <c r="A135" s="190"/>
      <c r="B135" s="559" t="s">
        <v>441</v>
      </c>
      <c r="C135" s="560"/>
      <c r="D135" s="561"/>
      <c r="E135" s="83"/>
      <c r="F135" s="83"/>
      <c r="G135" s="83"/>
      <c r="H135" s="83"/>
      <c r="I135" s="83"/>
      <c r="J135" s="83">
        <v>99</v>
      </c>
      <c r="K135" s="83"/>
      <c r="L135" s="83"/>
      <c r="M135" s="167">
        <f t="shared" si="15"/>
        <v>0</v>
      </c>
      <c r="N135" s="83">
        <f t="shared" si="16"/>
        <v>99</v>
      </c>
      <c r="O135" s="167">
        <f t="shared" si="13"/>
        <v>99</v>
      </c>
      <c r="P135" s="483" t="e">
        <f t="shared" si="14"/>
        <v>#DIV/0!</v>
      </c>
    </row>
    <row r="136" spans="1:16" ht="36.75" customHeight="1">
      <c r="A136" s="190"/>
      <c r="B136" s="562" t="s">
        <v>442</v>
      </c>
      <c r="C136" s="563"/>
      <c r="D136" s="564"/>
      <c r="E136" s="83"/>
      <c r="F136" s="83"/>
      <c r="G136" s="83"/>
      <c r="H136" s="83"/>
      <c r="I136" s="83"/>
      <c r="J136" s="83"/>
      <c r="K136" s="83"/>
      <c r="L136" s="83">
        <v>3.4</v>
      </c>
      <c r="M136" s="167">
        <f t="shared" si="15"/>
        <v>0</v>
      </c>
      <c r="N136" s="83">
        <f t="shared" si="16"/>
        <v>3.4</v>
      </c>
      <c r="O136" s="167">
        <f t="shared" si="13"/>
        <v>3.4</v>
      </c>
      <c r="P136" s="483" t="e">
        <f t="shared" si="14"/>
        <v>#DIV/0!</v>
      </c>
    </row>
    <row r="137" spans="1:16" ht="24" customHeight="1">
      <c r="A137" s="190"/>
      <c r="B137" s="565" t="s">
        <v>443</v>
      </c>
      <c r="C137" s="566"/>
      <c r="D137" s="567"/>
      <c r="E137" s="83"/>
      <c r="F137" s="83"/>
      <c r="G137" s="83"/>
      <c r="H137" s="83"/>
      <c r="I137" s="83"/>
      <c r="J137" s="83"/>
      <c r="K137" s="83"/>
      <c r="L137" s="83">
        <v>2.2000000000000002</v>
      </c>
      <c r="M137" s="167">
        <f t="shared" si="15"/>
        <v>0</v>
      </c>
      <c r="N137" s="83">
        <f t="shared" si="16"/>
        <v>2.2000000000000002</v>
      </c>
      <c r="O137" s="167">
        <f t="shared" si="13"/>
        <v>2.2000000000000002</v>
      </c>
      <c r="P137" s="483" t="e">
        <f t="shared" si="14"/>
        <v>#DIV/0!</v>
      </c>
    </row>
    <row r="138" spans="1:16" ht="23.25" customHeight="1">
      <c r="A138" s="190"/>
      <c r="B138" s="559" t="s">
        <v>444</v>
      </c>
      <c r="C138" s="560"/>
      <c r="D138" s="561"/>
      <c r="E138" s="83"/>
      <c r="F138" s="83"/>
      <c r="G138" s="83"/>
      <c r="H138" s="83"/>
      <c r="I138" s="83"/>
      <c r="J138" s="83"/>
      <c r="K138" s="83"/>
      <c r="L138" s="83">
        <v>3.6</v>
      </c>
      <c r="M138" s="167">
        <f t="shared" si="15"/>
        <v>0</v>
      </c>
      <c r="N138" s="83">
        <f t="shared" si="16"/>
        <v>3.6</v>
      </c>
      <c r="O138" s="167">
        <f t="shared" si="13"/>
        <v>3.6</v>
      </c>
      <c r="P138" s="483" t="e">
        <f t="shared" si="14"/>
        <v>#DIV/0!</v>
      </c>
    </row>
    <row r="139" spans="1:16" ht="25.5" customHeight="1">
      <c r="A139" s="190"/>
      <c r="B139" s="559" t="s">
        <v>445</v>
      </c>
      <c r="C139" s="560"/>
      <c r="D139" s="561"/>
      <c r="E139" s="83"/>
      <c r="F139" s="83"/>
      <c r="G139" s="83"/>
      <c r="H139" s="83"/>
      <c r="I139" s="83"/>
      <c r="J139" s="83"/>
      <c r="K139" s="83"/>
      <c r="L139" s="83">
        <v>0.3</v>
      </c>
      <c r="M139" s="167">
        <f t="shared" si="15"/>
        <v>0</v>
      </c>
      <c r="N139" s="83">
        <f t="shared" si="16"/>
        <v>0.3</v>
      </c>
      <c r="O139" s="167">
        <f t="shared" si="13"/>
        <v>0.3</v>
      </c>
      <c r="P139" s="483" t="e">
        <f t="shared" si="14"/>
        <v>#DIV/0!</v>
      </c>
    </row>
    <row r="140" spans="1:16" ht="25.5" customHeight="1">
      <c r="A140" s="190"/>
      <c r="B140" s="559" t="s">
        <v>446</v>
      </c>
      <c r="C140" s="560"/>
      <c r="D140" s="561"/>
      <c r="E140" s="83"/>
      <c r="F140" s="83"/>
      <c r="G140" s="83"/>
      <c r="H140" s="83"/>
      <c r="I140" s="83"/>
      <c r="J140" s="83"/>
      <c r="K140" s="83"/>
      <c r="L140" s="83">
        <v>1</v>
      </c>
      <c r="M140" s="167">
        <f t="shared" si="15"/>
        <v>0</v>
      </c>
      <c r="N140" s="83">
        <f t="shared" si="16"/>
        <v>1</v>
      </c>
      <c r="O140" s="167">
        <f t="shared" ref="O140:O203" si="17">N140-M140</f>
        <v>1</v>
      </c>
      <c r="P140" s="483" t="e">
        <f t="shared" ref="P140:P203" si="18">(N140/M140)*100</f>
        <v>#DIV/0!</v>
      </c>
    </row>
    <row r="141" spans="1:16" ht="24" customHeight="1">
      <c r="A141" s="190"/>
      <c r="B141" s="559" t="s">
        <v>447</v>
      </c>
      <c r="C141" s="560"/>
      <c r="D141" s="561"/>
      <c r="E141" s="83"/>
      <c r="F141" s="83"/>
      <c r="G141" s="83"/>
      <c r="H141" s="83"/>
      <c r="I141" s="83"/>
      <c r="J141" s="83"/>
      <c r="K141" s="83"/>
      <c r="L141" s="83">
        <v>1.3</v>
      </c>
      <c r="M141" s="167">
        <f t="shared" si="15"/>
        <v>0</v>
      </c>
      <c r="N141" s="83">
        <f t="shared" si="16"/>
        <v>1.3</v>
      </c>
      <c r="O141" s="167">
        <f t="shared" si="17"/>
        <v>1.3</v>
      </c>
      <c r="P141" s="483" t="e">
        <f t="shared" si="18"/>
        <v>#DIV/0!</v>
      </c>
    </row>
    <row r="142" spans="1:16" ht="25.5" customHeight="1">
      <c r="A142" s="190"/>
      <c r="B142" s="559" t="s">
        <v>405</v>
      </c>
      <c r="C142" s="560"/>
      <c r="D142" s="561"/>
      <c r="E142" s="83"/>
      <c r="F142" s="83"/>
      <c r="G142" s="83"/>
      <c r="H142" s="83"/>
      <c r="I142" s="83"/>
      <c r="J142" s="83"/>
      <c r="K142" s="83"/>
      <c r="L142" s="83">
        <v>1.2</v>
      </c>
      <c r="M142" s="167">
        <f t="shared" si="15"/>
        <v>0</v>
      </c>
      <c r="N142" s="83">
        <f t="shared" si="16"/>
        <v>1.2</v>
      </c>
      <c r="O142" s="167">
        <f t="shared" si="17"/>
        <v>1.2</v>
      </c>
      <c r="P142" s="483" t="e">
        <f t="shared" si="18"/>
        <v>#DIV/0!</v>
      </c>
    </row>
    <row r="143" spans="1:16" ht="27" customHeight="1">
      <c r="A143" s="190"/>
      <c r="B143" s="559" t="s">
        <v>406</v>
      </c>
      <c r="C143" s="560"/>
      <c r="D143" s="561"/>
      <c r="E143" s="83"/>
      <c r="F143" s="83"/>
      <c r="G143" s="83"/>
      <c r="H143" s="83"/>
      <c r="I143" s="83"/>
      <c r="J143" s="83"/>
      <c r="K143" s="83"/>
      <c r="L143" s="83">
        <v>5.2</v>
      </c>
      <c r="M143" s="167">
        <f t="shared" si="15"/>
        <v>0</v>
      </c>
      <c r="N143" s="83">
        <f t="shared" si="16"/>
        <v>5.2</v>
      </c>
      <c r="O143" s="167">
        <f t="shared" si="17"/>
        <v>5.2</v>
      </c>
      <c r="P143" s="483" t="e">
        <f t="shared" si="18"/>
        <v>#DIV/0!</v>
      </c>
    </row>
    <row r="144" spans="1:16" ht="27" customHeight="1">
      <c r="A144" s="190"/>
      <c r="B144" s="559" t="s">
        <v>407</v>
      </c>
      <c r="C144" s="560"/>
      <c r="D144" s="561"/>
      <c r="E144" s="83"/>
      <c r="F144" s="83"/>
      <c r="G144" s="83"/>
      <c r="H144" s="83"/>
      <c r="I144" s="83"/>
      <c r="J144" s="83"/>
      <c r="K144" s="83"/>
      <c r="L144" s="83">
        <v>4</v>
      </c>
      <c r="M144" s="167">
        <f t="shared" si="15"/>
        <v>0</v>
      </c>
      <c r="N144" s="83">
        <f t="shared" si="16"/>
        <v>4</v>
      </c>
      <c r="O144" s="167">
        <f t="shared" si="17"/>
        <v>4</v>
      </c>
      <c r="P144" s="483" t="e">
        <f t="shared" si="18"/>
        <v>#DIV/0!</v>
      </c>
    </row>
    <row r="145" spans="1:16" ht="27" customHeight="1">
      <c r="A145" s="190"/>
      <c r="B145" s="559" t="s">
        <v>408</v>
      </c>
      <c r="C145" s="560"/>
      <c r="D145" s="561"/>
      <c r="E145" s="83"/>
      <c r="F145" s="83"/>
      <c r="G145" s="83"/>
      <c r="H145" s="83"/>
      <c r="I145" s="83"/>
      <c r="J145" s="83">
        <v>5.3</v>
      </c>
      <c r="K145" s="83"/>
      <c r="L145" s="83"/>
      <c r="M145" s="167">
        <f t="shared" si="15"/>
        <v>0</v>
      </c>
      <c r="N145" s="83">
        <f t="shared" si="16"/>
        <v>5.3</v>
      </c>
      <c r="O145" s="167">
        <f t="shared" si="17"/>
        <v>5.3</v>
      </c>
      <c r="P145" s="483" t="e">
        <f t="shared" si="18"/>
        <v>#DIV/0!</v>
      </c>
    </row>
    <row r="146" spans="1:16" ht="27" customHeight="1">
      <c r="A146" s="190"/>
      <c r="B146" s="559" t="s">
        <v>409</v>
      </c>
      <c r="C146" s="560"/>
      <c r="D146" s="561"/>
      <c r="E146" s="83"/>
      <c r="F146" s="83"/>
      <c r="G146" s="83"/>
      <c r="H146" s="83"/>
      <c r="I146" s="83"/>
      <c r="J146" s="83"/>
      <c r="K146" s="83"/>
      <c r="L146" s="83">
        <v>3.4</v>
      </c>
      <c r="M146" s="167">
        <f t="shared" si="15"/>
        <v>0</v>
      </c>
      <c r="N146" s="83">
        <f t="shared" si="16"/>
        <v>3.4</v>
      </c>
      <c r="O146" s="167">
        <f t="shared" si="17"/>
        <v>3.4</v>
      </c>
      <c r="P146" s="483" t="e">
        <f t="shared" si="18"/>
        <v>#DIV/0!</v>
      </c>
    </row>
    <row r="147" spans="1:16" ht="26.25" customHeight="1">
      <c r="A147" s="190"/>
      <c r="B147" s="559" t="s">
        <v>410</v>
      </c>
      <c r="C147" s="560"/>
      <c r="D147" s="561"/>
      <c r="E147" s="83"/>
      <c r="F147" s="83"/>
      <c r="G147" s="83"/>
      <c r="H147" s="83"/>
      <c r="I147" s="83"/>
      <c r="J147" s="83"/>
      <c r="K147" s="83"/>
      <c r="L147" s="83">
        <v>2.5</v>
      </c>
      <c r="M147" s="167">
        <f t="shared" si="15"/>
        <v>0</v>
      </c>
      <c r="N147" s="83">
        <f t="shared" si="16"/>
        <v>2.5</v>
      </c>
      <c r="O147" s="167">
        <f t="shared" si="17"/>
        <v>2.5</v>
      </c>
      <c r="P147" s="483" t="e">
        <f t="shared" si="18"/>
        <v>#DIV/0!</v>
      </c>
    </row>
    <row r="148" spans="1:16" ht="23.25" customHeight="1">
      <c r="A148" s="190"/>
      <c r="B148" s="559" t="s">
        <v>411</v>
      </c>
      <c r="C148" s="560"/>
      <c r="D148" s="561"/>
      <c r="E148" s="83"/>
      <c r="F148" s="83"/>
      <c r="G148" s="83"/>
      <c r="H148" s="83"/>
      <c r="I148" s="83"/>
      <c r="J148" s="83"/>
      <c r="K148" s="83"/>
      <c r="L148" s="83">
        <v>18.399999999999999</v>
      </c>
      <c r="M148" s="167">
        <f t="shared" si="15"/>
        <v>0</v>
      </c>
      <c r="N148" s="83">
        <f t="shared" si="16"/>
        <v>18.399999999999999</v>
      </c>
      <c r="O148" s="167">
        <f t="shared" si="17"/>
        <v>18.399999999999999</v>
      </c>
      <c r="P148" s="483" t="e">
        <f t="shared" si="18"/>
        <v>#DIV/0!</v>
      </c>
    </row>
    <row r="149" spans="1:16" ht="23.25" customHeight="1">
      <c r="A149" s="190"/>
      <c r="B149" s="559" t="s">
        <v>412</v>
      </c>
      <c r="C149" s="560"/>
      <c r="D149" s="561"/>
      <c r="E149" s="83"/>
      <c r="F149" s="83"/>
      <c r="G149" s="83"/>
      <c r="H149" s="83"/>
      <c r="I149" s="83"/>
      <c r="J149" s="83"/>
      <c r="K149" s="83"/>
      <c r="L149" s="83">
        <v>1.4</v>
      </c>
      <c r="M149" s="167">
        <f t="shared" si="15"/>
        <v>0</v>
      </c>
      <c r="N149" s="83">
        <f t="shared" si="16"/>
        <v>1.4</v>
      </c>
      <c r="O149" s="167">
        <f t="shared" si="17"/>
        <v>1.4</v>
      </c>
      <c r="P149" s="483" t="e">
        <f t="shared" si="18"/>
        <v>#DIV/0!</v>
      </c>
    </row>
    <row r="150" spans="1:16" ht="23.25" customHeight="1">
      <c r="A150" s="190"/>
      <c r="B150" s="559" t="s">
        <v>413</v>
      </c>
      <c r="C150" s="560"/>
      <c r="D150" s="561"/>
      <c r="E150" s="83"/>
      <c r="F150" s="83"/>
      <c r="G150" s="83"/>
      <c r="H150" s="83"/>
      <c r="I150" s="83"/>
      <c r="J150" s="83"/>
      <c r="K150" s="83"/>
      <c r="L150" s="83">
        <v>13.2</v>
      </c>
      <c r="M150" s="167">
        <f t="shared" si="15"/>
        <v>0</v>
      </c>
      <c r="N150" s="83">
        <f t="shared" si="16"/>
        <v>13.2</v>
      </c>
      <c r="O150" s="167">
        <f t="shared" si="17"/>
        <v>13.2</v>
      </c>
      <c r="P150" s="483" t="e">
        <f t="shared" si="18"/>
        <v>#DIV/0!</v>
      </c>
    </row>
    <row r="151" spans="1:16" ht="23.25" customHeight="1">
      <c r="A151" s="190"/>
      <c r="B151" s="559" t="s">
        <v>414</v>
      </c>
      <c r="C151" s="560"/>
      <c r="D151" s="561"/>
      <c r="E151" s="83"/>
      <c r="F151" s="83"/>
      <c r="G151" s="83"/>
      <c r="H151" s="83"/>
      <c r="I151" s="83"/>
      <c r="J151" s="83"/>
      <c r="K151" s="83"/>
      <c r="L151" s="83">
        <v>13.4</v>
      </c>
      <c r="M151" s="167">
        <f t="shared" si="15"/>
        <v>0</v>
      </c>
      <c r="N151" s="83">
        <f t="shared" si="16"/>
        <v>13.4</v>
      </c>
      <c r="O151" s="167">
        <f t="shared" si="17"/>
        <v>13.4</v>
      </c>
      <c r="P151" s="483" t="e">
        <f t="shared" si="18"/>
        <v>#DIV/0!</v>
      </c>
    </row>
    <row r="152" spans="1:16" ht="23.25" customHeight="1">
      <c r="A152" s="190"/>
      <c r="B152" s="559" t="s">
        <v>415</v>
      </c>
      <c r="C152" s="560"/>
      <c r="D152" s="561"/>
      <c r="E152" s="83"/>
      <c r="F152" s="83"/>
      <c r="G152" s="83"/>
      <c r="H152" s="83"/>
      <c r="I152" s="83"/>
      <c r="J152" s="83">
        <v>16</v>
      </c>
      <c r="K152" s="83"/>
      <c r="L152" s="83"/>
      <c r="M152" s="167">
        <f t="shared" si="15"/>
        <v>0</v>
      </c>
      <c r="N152" s="83">
        <f t="shared" si="16"/>
        <v>16</v>
      </c>
      <c r="O152" s="167">
        <f t="shared" si="17"/>
        <v>16</v>
      </c>
      <c r="P152" s="483" t="e">
        <f t="shared" si="18"/>
        <v>#DIV/0!</v>
      </c>
    </row>
    <row r="153" spans="1:16" ht="23.25" customHeight="1">
      <c r="A153" s="190"/>
      <c r="B153" s="559" t="s">
        <v>448</v>
      </c>
      <c r="C153" s="560"/>
      <c r="D153" s="561"/>
      <c r="E153" s="83"/>
      <c r="F153" s="83"/>
      <c r="G153" s="83"/>
      <c r="H153" s="83">
        <v>287.60000000000002</v>
      </c>
      <c r="I153" s="83"/>
      <c r="J153" s="83"/>
      <c r="K153" s="83"/>
      <c r="L153" s="83"/>
      <c r="M153" s="167">
        <f t="shared" ref="M153:M216" si="19">E153+G153+I153+K153</f>
        <v>0</v>
      </c>
      <c r="N153" s="83">
        <f t="shared" ref="N153:N216" si="20">F153+H153+J153+L153</f>
        <v>287.60000000000002</v>
      </c>
      <c r="O153" s="167">
        <f t="shared" si="17"/>
        <v>287.60000000000002</v>
      </c>
      <c r="P153" s="483" t="e">
        <f t="shared" si="18"/>
        <v>#DIV/0!</v>
      </c>
    </row>
    <row r="154" spans="1:16" ht="23.25" customHeight="1">
      <c r="A154" s="190"/>
      <c r="B154" s="559" t="s">
        <v>449</v>
      </c>
      <c r="C154" s="560"/>
      <c r="D154" s="561"/>
      <c r="E154" s="83"/>
      <c r="F154" s="83"/>
      <c r="G154" s="83"/>
      <c r="H154" s="83">
        <v>185.5</v>
      </c>
      <c r="I154" s="83"/>
      <c r="J154" s="83"/>
      <c r="K154" s="83"/>
      <c r="L154" s="83"/>
      <c r="M154" s="167">
        <f t="shared" si="19"/>
        <v>0</v>
      </c>
      <c r="N154" s="83">
        <f t="shared" si="20"/>
        <v>185.5</v>
      </c>
      <c r="O154" s="167">
        <f t="shared" si="17"/>
        <v>185.5</v>
      </c>
      <c r="P154" s="483" t="e">
        <f t="shared" si="18"/>
        <v>#DIV/0!</v>
      </c>
    </row>
    <row r="155" spans="1:16" ht="38.25" customHeight="1">
      <c r="A155" s="190"/>
      <c r="B155" s="562" t="s">
        <v>450</v>
      </c>
      <c r="C155" s="563"/>
      <c r="D155" s="564"/>
      <c r="E155" s="83"/>
      <c r="F155" s="83"/>
      <c r="G155" s="83"/>
      <c r="H155" s="83">
        <v>144.30000000000001</v>
      </c>
      <c r="I155" s="83"/>
      <c r="J155" s="83"/>
      <c r="K155" s="83"/>
      <c r="L155" s="83"/>
      <c r="M155" s="167">
        <f t="shared" si="19"/>
        <v>0</v>
      </c>
      <c r="N155" s="83">
        <f t="shared" si="20"/>
        <v>144.30000000000001</v>
      </c>
      <c r="O155" s="167">
        <f t="shared" si="17"/>
        <v>144.30000000000001</v>
      </c>
      <c r="P155" s="483" t="e">
        <f t="shared" si="18"/>
        <v>#DIV/0!</v>
      </c>
    </row>
    <row r="156" spans="1:16" ht="58.5" customHeight="1">
      <c r="A156" s="190"/>
      <c r="B156" s="562" t="s">
        <v>451</v>
      </c>
      <c r="C156" s="563"/>
      <c r="D156" s="564"/>
      <c r="E156" s="83"/>
      <c r="F156" s="83"/>
      <c r="G156" s="83"/>
      <c r="H156" s="83">
        <v>226.1</v>
      </c>
      <c r="I156" s="83"/>
      <c r="J156" s="83"/>
      <c r="K156" s="83"/>
      <c r="L156" s="83"/>
      <c r="M156" s="167">
        <f t="shared" si="19"/>
        <v>0</v>
      </c>
      <c r="N156" s="83">
        <f t="shared" si="20"/>
        <v>226.1</v>
      </c>
      <c r="O156" s="167">
        <f t="shared" si="17"/>
        <v>226.1</v>
      </c>
      <c r="P156" s="483" t="e">
        <f t="shared" si="18"/>
        <v>#DIV/0!</v>
      </c>
    </row>
    <row r="157" spans="1:16" ht="45" customHeight="1">
      <c r="A157" s="190"/>
      <c r="B157" s="562" t="s">
        <v>452</v>
      </c>
      <c r="C157" s="563"/>
      <c r="D157" s="564"/>
      <c r="E157" s="83"/>
      <c r="F157" s="83"/>
      <c r="G157" s="83"/>
      <c r="H157" s="83">
        <v>51</v>
      </c>
      <c r="I157" s="83"/>
      <c r="J157" s="83"/>
      <c r="K157" s="83"/>
      <c r="L157" s="83"/>
      <c r="M157" s="167">
        <f t="shared" si="19"/>
        <v>0</v>
      </c>
      <c r="N157" s="83">
        <f t="shared" si="20"/>
        <v>51</v>
      </c>
      <c r="O157" s="167">
        <f t="shared" si="17"/>
        <v>51</v>
      </c>
      <c r="P157" s="483" t="e">
        <f t="shared" si="18"/>
        <v>#DIV/0!</v>
      </c>
    </row>
    <row r="158" spans="1:16" ht="30" customHeight="1">
      <c r="A158" s="190"/>
      <c r="B158" s="565" t="s">
        <v>453</v>
      </c>
      <c r="C158" s="566"/>
      <c r="D158" s="567"/>
      <c r="E158" s="83"/>
      <c r="F158" s="83"/>
      <c r="G158" s="83"/>
      <c r="H158" s="83">
        <v>44.4</v>
      </c>
      <c r="I158" s="83"/>
      <c r="J158" s="83"/>
      <c r="K158" s="83"/>
      <c r="L158" s="83"/>
      <c r="M158" s="167">
        <f t="shared" si="19"/>
        <v>0</v>
      </c>
      <c r="N158" s="83">
        <f t="shared" si="20"/>
        <v>44.4</v>
      </c>
      <c r="O158" s="167">
        <f t="shared" si="17"/>
        <v>44.4</v>
      </c>
      <c r="P158" s="483" t="e">
        <f t="shared" si="18"/>
        <v>#DIV/0!</v>
      </c>
    </row>
    <row r="159" spans="1:16" ht="32.25" customHeight="1">
      <c r="A159" s="190"/>
      <c r="B159" s="559" t="s">
        <v>416</v>
      </c>
      <c r="C159" s="560"/>
      <c r="D159" s="561"/>
      <c r="E159" s="83"/>
      <c r="F159" s="83"/>
      <c r="G159" s="83"/>
      <c r="H159" s="83">
        <v>8.1</v>
      </c>
      <c r="I159" s="83"/>
      <c r="J159" s="83"/>
      <c r="K159" s="83"/>
      <c r="L159" s="83"/>
      <c r="M159" s="167">
        <f t="shared" si="19"/>
        <v>0</v>
      </c>
      <c r="N159" s="83">
        <f t="shared" si="20"/>
        <v>8.1</v>
      </c>
      <c r="O159" s="167">
        <f t="shared" si="17"/>
        <v>8.1</v>
      </c>
      <c r="P159" s="483" t="e">
        <f t="shared" si="18"/>
        <v>#DIV/0!</v>
      </c>
    </row>
    <row r="160" spans="1:16" ht="32.25" customHeight="1">
      <c r="A160" s="190"/>
      <c r="B160" s="559" t="s">
        <v>417</v>
      </c>
      <c r="C160" s="560"/>
      <c r="D160" s="561"/>
      <c r="E160" s="83"/>
      <c r="F160" s="83"/>
      <c r="G160" s="83"/>
      <c r="H160" s="83">
        <v>2</v>
      </c>
      <c r="I160" s="83"/>
      <c r="J160" s="83"/>
      <c r="K160" s="83"/>
      <c r="L160" s="83"/>
      <c r="M160" s="167">
        <f t="shared" si="19"/>
        <v>0</v>
      </c>
      <c r="N160" s="83">
        <f t="shared" si="20"/>
        <v>2</v>
      </c>
      <c r="O160" s="167">
        <f t="shared" si="17"/>
        <v>2</v>
      </c>
      <c r="P160" s="483" t="e">
        <f t="shared" si="18"/>
        <v>#DIV/0!</v>
      </c>
    </row>
    <row r="161" spans="1:16" ht="32.25" customHeight="1">
      <c r="A161" s="190"/>
      <c r="B161" s="559" t="s">
        <v>570</v>
      </c>
      <c r="C161" s="560"/>
      <c r="D161" s="561"/>
      <c r="E161" s="83"/>
      <c r="F161" s="83"/>
      <c r="G161" s="83"/>
      <c r="H161" s="83"/>
      <c r="I161" s="83"/>
      <c r="J161" s="83"/>
      <c r="K161" s="83"/>
      <c r="L161" s="83">
        <v>1.9</v>
      </c>
      <c r="M161" s="167">
        <f t="shared" si="19"/>
        <v>0</v>
      </c>
      <c r="N161" s="83">
        <f t="shared" si="20"/>
        <v>1.9</v>
      </c>
      <c r="O161" s="167">
        <f t="shared" si="17"/>
        <v>1.9</v>
      </c>
      <c r="P161" s="483" t="e">
        <f t="shared" si="18"/>
        <v>#DIV/0!</v>
      </c>
    </row>
    <row r="162" spans="1:16" ht="32.25" customHeight="1">
      <c r="A162" s="190"/>
      <c r="B162" s="559" t="s">
        <v>571</v>
      </c>
      <c r="C162" s="560"/>
      <c r="D162" s="561"/>
      <c r="E162" s="83"/>
      <c r="F162" s="83"/>
      <c r="G162" s="83"/>
      <c r="H162" s="83"/>
      <c r="I162" s="83"/>
      <c r="J162" s="83">
        <v>1.3</v>
      </c>
      <c r="K162" s="83"/>
      <c r="L162" s="83"/>
      <c r="M162" s="167">
        <f t="shared" si="19"/>
        <v>0</v>
      </c>
      <c r="N162" s="83">
        <f t="shared" si="20"/>
        <v>1.3</v>
      </c>
      <c r="O162" s="167">
        <f t="shared" si="17"/>
        <v>1.3</v>
      </c>
      <c r="P162" s="483" t="e">
        <f t="shared" si="18"/>
        <v>#DIV/0!</v>
      </c>
    </row>
    <row r="163" spans="1:16" ht="32.25" customHeight="1">
      <c r="A163" s="190"/>
      <c r="B163" s="559" t="s">
        <v>572</v>
      </c>
      <c r="C163" s="560"/>
      <c r="D163" s="561"/>
      <c r="E163" s="83"/>
      <c r="F163" s="83"/>
      <c r="G163" s="83"/>
      <c r="H163" s="83"/>
      <c r="I163" s="83"/>
      <c r="J163" s="83">
        <v>0.8</v>
      </c>
      <c r="K163" s="83"/>
      <c r="L163" s="83"/>
      <c r="M163" s="167">
        <f t="shared" si="19"/>
        <v>0</v>
      </c>
      <c r="N163" s="83">
        <f t="shared" si="20"/>
        <v>0.8</v>
      </c>
      <c r="O163" s="167">
        <f t="shared" si="17"/>
        <v>0.8</v>
      </c>
      <c r="P163" s="483" t="e">
        <f t="shared" si="18"/>
        <v>#DIV/0!</v>
      </c>
    </row>
    <row r="164" spans="1:16" ht="32.25" customHeight="1">
      <c r="A164" s="190"/>
      <c r="B164" s="559" t="s">
        <v>604</v>
      </c>
      <c r="C164" s="560"/>
      <c r="D164" s="561"/>
      <c r="E164" s="83"/>
      <c r="F164" s="83"/>
      <c r="G164" s="83"/>
      <c r="H164" s="83"/>
      <c r="I164" s="83"/>
      <c r="J164" s="83"/>
      <c r="K164" s="83"/>
      <c r="L164" s="83">
        <v>0.3</v>
      </c>
      <c r="M164" s="167">
        <f t="shared" si="19"/>
        <v>0</v>
      </c>
      <c r="N164" s="83">
        <f t="shared" si="20"/>
        <v>0.3</v>
      </c>
      <c r="O164" s="167">
        <f t="shared" si="17"/>
        <v>0.3</v>
      </c>
      <c r="P164" s="483" t="e">
        <f t="shared" si="18"/>
        <v>#DIV/0!</v>
      </c>
    </row>
    <row r="165" spans="1:16" ht="32.25" customHeight="1">
      <c r="A165" s="190"/>
      <c r="B165" s="559" t="s">
        <v>605</v>
      </c>
      <c r="C165" s="560"/>
      <c r="D165" s="561"/>
      <c r="E165" s="83"/>
      <c r="F165" s="83"/>
      <c r="G165" s="83"/>
      <c r="H165" s="83"/>
      <c r="I165" s="83"/>
      <c r="J165" s="83"/>
      <c r="K165" s="83"/>
      <c r="L165" s="83">
        <v>2.5</v>
      </c>
      <c r="M165" s="167">
        <f t="shared" si="19"/>
        <v>0</v>
      </c>
      <c r="N165" s="83">
        <f t="shared" si="20"/>
        <v>2.5</v>
      </c>
      <c r="O165" s="167">
        <f t="shared" si="17"/>
        <v>2.5</v>
      </c>
      <c r="P165" s="483" t="e">
        <f t="shared" si="18"/>
        <v>#DIV/0!</v>
      </c>
    </row>
    <row r="166" spans="1:16" ht="32.25" customHeight="1">
      <c r="A166" s="190"/>
      <c r="B166" s="559" t="s">
        <v>573</v>
      </c>
      <c r="C166" s="560"/>
      <c r="D166" s="561"/>
      <c r="E166" s="83"/>
      <c r="F166" s="83"/>
      <c r="G166" s="83"/>
      <c r="H166" s="83"/>
      <c r="I166" s="83"/>
      <c r="J166" s="83">
        <v>5.8</v>
      </c>
      <c r="K166" s="83"/>
      <c r="L166" s="83"/>
      <c r="M166" s="167">
        <f t="shared" si="19"/>
        <v>0</v>
      </c>
      <c r="N166" s="83">
        <f t="shared" si="20"/>
        <v>5.8</v>
      </c>
      <c r="O166" s="167">
        <f t="shared" si="17"/>
        <v>5.8</v>
      </c>
      <c r="P166" s="483" t="e">
        <f t="shared" si="18"/>
        <v>#DIV/0!</v>
      </c>
    </row>
    <row r="167" spans="1:16" ht="43.5" customHeight="1">
      <c r="A167" s="190"/>
      <c r="B167" s="562" t="s">
        <v>574</v>
      </c>
      <c r="C167" s="563"/>
      <c r="D167" s="564"/>
      <c r="E167" s="83"/>
      <c r="F167" s="83"/>
      <c r="G167" s="83"/>
      <c r="H167" s="83"/>
      <c r="I167" s="83"/>
      <c r="J167" s="83"/>
      <c r="K167" s="83"/>
      <c r="L167" s="83">
        <v>63.7</v>
      </c>
      <c r="M167" s="167">
        <f t="shared" si="19"/>
        <v>0</v>
      </c>
      <c r="N167" s="83">
        <f t="shared" si="20"/>
        <v>63.7</v>
      </c>
      <c r="O167" s="167">
        <f t="shared" si="17"/>
        <v>63.7</v>
      </c>
      <c r="P167" s="483" t="e">
        <f t="shared" si="18"/>
        <v>#DIV/0!</v>
      </c>
    </row>
    <row r="168" spans="1:16" ht="32.25" customHeight="1">
      <c r="A168" s="190"/>
      <c r="B168" s="559" t="s">
        <v>575</v>
      </c>
      <c r="C168" s="560"/>
      <c r="D168" s="561"/>
      <c r="E168" s="83"/>
      <c r="F168" s="83"/>
      <c r="G168" s="83"/>
      <c r="H168" s="83"/>
      <c r="I168" s="83"/>
      <c r="J168" s="83"/>
      <c r="K168" s="83"/>
      <c r="L168" s="83">
        <v>1.1000000000000001</v>
      </c>
      <c r="M168" s="167">
        <f t="shared" si="19"/>
        <v>0</v>
      </c>
      <c r="N168" s="83">
        <f t="shared" si="20"/>
        <v>1.1000000000000001</v>
      </c>
      <c r="O168" s="167">
        <f t="shared" si="17"/>
        <v>1.1000000000000001</v>
      </c>
      <c r="P168" s="483" t="e">
        <f t="shared" si="18"/>
        <v>#DIV/0!</v>
      </c>
    </row>
    <row r="169" spans="1:16" ht="39.75" customHeight="1">
      <c r="A169" s="190"/>
      <c r="B169" s="562" t="s">
        <v>576</v>
      </c>
      <c r="C169" s="563"/>
      <c r="D169" s="564"/>
      <c r="E169" s="83"/>
      <c r="F169" s="83"/>
      <c r="G169" s="83"/>
      <c r="H169" s="83"/>
      <c r="I169" s="83"/>
      <c r="J169" s="83">
        <v>15.2</v>
      </c>
      <c r="K169" s="83"/>
      <c r="L169" s="83"/>
      <c r="M169" s="167">
        <f t="shared" si="19"/>
        <v>0</v>
      </c>
      <c r="N169" s="83">
        <f t="shared" si="20"/>
        <v>15.2</v>
      </c>
      <c r="O169" s="167">
        <f t="shared" si="17"/>
        <v>15.2</v>
      </c>
      <c r="P169" s="483" t="e">
        <f t="shared" si="18"/>
        <v>#DIV/0!</v>
      </c>
    </row>
    <row r="170" spans="1:16" ht="32.25" customHeight="1">
      <c r="A170" s="190"/>
      <c r="B170" s="559" t="s">
        <v>577</v>
      </c>
      <c r="C170" s="560"/>
      <c r="D170" s="561"/>
      <c r="E170" s="83"/>
      <c r="F170" s="83"/>
      <c r="G170" s="83"/>
      <c r="H170" s="83"/>
      <c r="I170" s="83"/>
      <c r="J170" s="83">
        <v>4.2</v>
      </c>
      <c r="K170" s="83"/>
      <c r="L170" s="83"/>
      <c r="M170" s="167">
        <f t="shared" si="19"/>
        <v>0</v>
      </c>
      <c r="N170" s="83">
        <f t="shared" si="20"/>
        <v>4.2</v>
      </c>
      <c r="O170" s="167">
        <f t="shared" si="17"/>
        <v>4.2</v>
      </c>
      <c r="P170" s="483" t="e">
        <f t="shared" si="18"/>
        <v>#DIV/0!</v>
      </c>
    </row>
    <row r="171" spans="1:16" ht="39.75" customHeight="1">
      <c r="A171" s="190"/>
      <c r="B171" s="562" t="s">
        <v>578</v>
      </c>
      <c r="C171" s="563"/>
      <c r="D171" s="564"/>
      <c r="E171" s="83"/>
      <c r="F171" s="83"/>
      <c r="G171" s="83"/>
      <c r="H171" s="83"/>
      <c r="I171" s="83"/>
      <c r="J171" s="83">
        <v>13</v>
      </c>
      <c r="K171" s="83"/>
      <c r="L171" s="83"/>
      <c r="M171" s="167">
        <f t="shared" si="19"/>
        <v>0</v>
      </c>
      <c r="N171" s="83">
        <f t="shared" si="20"/>
        <v>13</v>
      </c>
      <c r="O171" s="167">
        <f t="shared" si="17"/>
        <v>13</v>
      </c>
      <c r="P171" s="483" t="e">
        <f t="shared" si="18"/>
        <v>#DIV/0!</v>
      </c>
    </row>
    <row r="172" spans="1:16" ht="26.25" customHeight="1">
      <c r="A172" s="190"/>
      <c r="B172" s="565" t="s">
        <v>579</v>
      </c>
      <c r="C172" s="566"/>
      <c r="D172" s="567"/>
      <c r="E172" s="83"/>
      <c r="F172" s="83"/>
      <c r="G172" s="83"/>
      <c r="H172" s="83"/>
      <c r="I172" s="83"/>
      <c r="J172" s="83">
        <v>11.4</v>
      </c>
      <c r="K172" s="83"/>
      <c r="L172" s="83"/>
      <c r="M172" s="167">
        <f t="shared" si="19"/>
        <v>0</v>
      </c>
      <c r="N172" s="83">
        <f t="shared" si="20"/>
        <v>11.4</v>
      </c>
      <c r="O172" s="167">
        <f t="shared" si="17"/>
        <v>11.4</v>
      </c>
      <c r="P172" s="483" t="e">
        <f t="shared" si="18"/>
        <v>#DIV/0!</v>
      </c>
    </row>
    <row r="173" spans="1:16" ht="41.25" customHeight="1">
      <c r="A173" s="190"/>
      <c r="B173" s="562" t="s">
        <v>603</v>
      </c>
      <c r="C173" s="563"/>
      <c r="D173" s="564"/>
      <c r="E173" s="83"/>
      <c r="F173" s="83"/>
      <c r="G173" s="83"/>
      <c r="H173" s="83"/>
      <c r="I173" s="83"/>
      <c r="J173" s="83">
        <v>11.2</v>
      </c>
      <c r="K173" s="83"/>
      <c r="L173" s="83"/>
      <c r="M173" s="167">
        <f t="shared" si="19"/>
        <v>0</v>
      </c>
      <c r="N173" s="83">
        <f t="shared" si="20"/>
        <v>11.2</v>
      </c>
      <c r="O173" s="167">
        <f t="shared" si="17"/>
        <v>11.2</v>
      </c>
      <c r="P173" s="483" t="e">
        <f t="shared" si="18"/>
        <v>#DIV/0!</v>
      </c>
    </row>
    <row r="174" spans="1:16" ht="32.25" customHeight="1">
      <c r="A174" s="190"/>
      <c r="B174" s="559" t="s">
        <v>602</v>
      </c>
      <c r="C174" s="560"/>
      <c r="D174" s="561"/>
      <c r="E174" s="83"/>
      <c r="F174" s="83"/>
      <c r="G174" s="83"/>
      <c r="H174" s="83"/>
      <c r="I174" s="83"/>
      <c r="J174" s="83"/>
      <c r="K174" s="83"/>
      <c r="L174" s="83">
        <v>27</v>
      </c>
      <c r="M174" s="167">
        <f t="shared" si="19"/>
        <v>0</v>
      </c>
      <c r="N174" s="83">
        <f t="shared" si="20"/>
        <v>27</v>
      </c>
      <c r="O174" s="167">
        <f t="shared" si="17"/>
        <v>27</v>
      </c>
      <c r="P174" s="483" t="e">
        <f t="shared" si="18"/>
        <v>#DIV/0!</v>
      </c>
    </row>
    <row r="175" spans="1:16" ht="32.25" customHeight="1">
      <c r="A175" s="190"/>
      <c r="B175" s="559" t="s">
        <v>601</v>
      </c>
      <c r="C175" s="560"/>
      <c r="D175" s="561"/>
      <c r="E175" s="83"/>
      <c r="F175" s="83"/>
      <c r="G175" s="83"/>
      <c r="H175" s="83"/>
      <c r="I175" s="83"/>
      <c r="J175" s="83">
        <v>27.3</v>
      </c>
      <c r="K175" s="83"/>
      <c r="L175" s="83"/>
      <c r="M175" s="167">
        <f t="shared" si="19"/>
        <v>0</v>
      </c>
      <c r="N175" s="83">
        <f t="shared" si="20"/>
        <v>27.3</v>
      </c>
      <c r="O175" s="167">
        <f t="shared" si="17"/>
        <v>27.3</v>
      </c>
      <c r="P175" s="483" t="e">
        <f t="shared" si="18"/>
        <v>#DIV/0!</v>
      </c>
    </row>
    <row r="176" spans="1:16" ht="32.25" customHeight="1">
      <c r="A176" s="190"/>
      <c r="B176" s="559" t="s">
        <v>606</v>
      </c>
      <c r="C176" s="560"/>
      <c r="D176" s="561"/>
      <c r="E176" s="83"/>
      <c r="F176" s="83"/>
      <c r="G176" s="83"/>
      <c r="H176" s="83"/>
      <c r="I176" s="83"/>
      <c r="J176" s="83">
        <v>3.8</v>
      </c>
      <c r="K176" s="83"/>
      <c r="L176" s="83"/>
      <c r="M176" s="167">
        <f t="shared" si="19"/>
        <v>0</v>
      </c>
      <c r="N176" s="83">
        <f t="shared" si="20"/>
        <v>3.8</v>
      </c>
      <c r="O176" s="167">
        <f t="shared" si="17"/>
        <v>3.8</v>
      </c>
      <c r="P176" s="483" t="e">
        <f t="shared" si="18"/>
        <v>#DIV/0!</v>
      </c>
    </row>
    <row r="177" spans="1:16" ht="32.25" customHeight="1">
      <c r="A177" s="190"/>
      <c r="B177" s="559" t="s">
        <v>600</v>
      </c>
      <c r="C177" s="560"/>
      <c r="D177" s="561"/>
      <c r="E177" s="83"/>
      <c r="F177" s="83"/>
      <c r="G177" s="83"/>
      <c r="H177" s="83"/>
      <c r="I177" s="83"/>
      <c r="J177" s="83">
        <v>6.6</v>
      </c>
      <c r="K177" s="83"/>
      <c r="L177" s="83"/>
      <c r="M177" s="167">
        <f t="shared" si="19"/>
        <v>0</v>
      </c>
      <c r="N177" s="83">
        <f t="shared" si="20"/>
        <v>6.6</v>
      </c>
      <c r="O177" s="167">
        <f t="shared" si="17"/>
        <v>6.6</v>
      </c>
      <c r="P177" s="483" t="e">
        <f t="shared" si="18"/>
        <v>#DIV/0!</v>
      </c>
    </row>
    <row r="178" spans="1:16" ht="32.25" customHeight="1">
      <c r="A178" s="190"/>
      <c r="B178" s="559" t="s">
        <v>599</v>
      </c>
      <c r="C178" s="560"/>
      <c r="D178" s="561"/>
      <c r="E178" s="83"/>
      <c r="F178" s="83"/>
      <c r="G178" s="83"/>
      <c r="H178" s="83"/>
      <c r="I178" s="83"/>
      <c r="J178" s="83"/>
      <c r="K178" s="83"/>
      <c r="L178" s="83">
        <v>28.4</v>
      </c>
      <c r="M178" s="167">
        <f t="shared" si="19"/>
        <v>0</v>
      </c>
      <c r="N178" s="83">
        <f t="shared" si="20"/>
        <v>28.4</v>
      </c>
      <c r="O178" s="167">
        <f t="shared" si="17"/>
        <v>28.4</v>
      </c>
      <c r="P178" s="483" t="e">
        <f t="shared" si="18"/>
        <v>#DIV/0!</v>
      </c>
    </row>
    <row r="179" spans="1:16" ht="32.25" customHeight="1">
      <c r="A179" s="190"/>
      <c r="B179" s="559" t="s">
        <v>598</v>
      </c>
      <c r="C179" s="560"/>
      <c r="D179" s="561"/>
      <c r="E179" s="83"/>
      <c r="F179" s="83"/>
      <c r="G179" s="83"/>
      <c r="H179" s="83"/>
      <c r="I179" s="83"/>
      <c r="J179" s="83"/>
      <c r="K179" s="83"/>
      <c r="L179" s="83">
        <v>38.799999999999997</v>
      </c>
      <c r="M179" s="167">
        <f t="shared" si="19"/>
        <v>0</v>
      </c>
      <c r="N179" s="83">
        <f t="shared" si="20"/>
        <v>38.799999999999997</v>
      </c>
      <c r="O179" s="167">
        <f t="shared" si="17"/>
        <v>38.799999999999997</v>
      </c>
      <c r="P179" s="483" t="e">
        <f t="shared" si="18"/>
        <v>#DIV/0!</v>
      </c>
    </row>
    <row r="180" spans="1:16" ht="32.25" customHeight="1">
      <c r="A180" s="190"/>
      <c r="B180" s="559" t="s">
        <v>580</v>
      </c>
      <c r="C180" s="560"/>
      <c r="D180" s="561"/>
      <c r="E180" s="83"/>
      <c r="F180" s="83"/>
      <c r="G180" s="83"/>
      <c r="H180" s="83"/>
      <c r="I180" s="83"/>
      <c r="J180" s="83"/>
      <c r="K180" s="83"/>
      <c r="L180" s="83">
        <v>4</v>
      </c>
      <c r="M180" s="167">
        <f t="shared" si="19"/>
        <v>0</v>
      </c>
      <c r="N180" s="83">
        <f t="shared" si="20"/>
        <v>4</v>
      </c>
      <c r="O180" s="167">
        <f t="shared" si="17"/>
        <v>4</v>
      </c>
      <c r="P180" s="483" t="e">
        <f t="shared" si="18"/>
        <v>#DIV/0!</v>
      </c>
    </row>
    <row r="181" spans="1:16" ht="32.25" customHeight="1">
      <c r="A181" s="190"/>
      <c r="B181" s="559" t="s">
        <v>597</v>
      </c>
      <c r="C181" s="560"/>
      <c r="D181" s="561"/>
      <c r="E181" s="83"/>
      <c r="F181" s="83"/>
      <c r="G181" s="83"/>
      <c r="H181" s="83"/>
      <c r="I181" s="83"/>
      <c r="J181" s="83"/>
      <c r="K181" s="83"/>
      <c r="L181" s="83">
        <v>6.9</v>
      </c>
      <c r="M181" s="167">
        <f t="shared" si="19"/>
        <v>0</v>
      </c>
      <c r="N181" s="83">
        <f t="shared" si="20"/>
        <v>6.9</v>
      </c>
      <c r="O181" s="167">
        <f t="shared" si="17"/>
        <v>6.9</v>
      </c>
      <c r="P181" s="483" t="e">
        <f t="shared" si="18"/>
        <v>#DIV/0!</v>
      </c>
    </row>
    <row r="182" spans="1:16" ht="43.5" customHeight="1">
      <c r="A182" s="190"/>
      <c r="B182" s="562" t="s">
        <v>596</v>
      </c>
      <c r="C182" s="563"/>
      <c r="D182" s="564"/>
      <c r="E182" s="83"/>
      <c r="F182" s="83"/>
      <c r="G182" s="83"/>
      <c r="H182" s="83"/>
      <c r="I182" s="83"/>
      <c r="J182" s="83">
        <v>99</v>
      </c>
      <c r="K182" s="83"/>
      <c r="L182" s="83"/>
      <c r="M182" s="167">
        <f t="shared" si="19"/>
        <v>0</v>
      </c>
      <c r="N182" s="83">
        <f t="shared" si="20"/>
        <v>99</v>
      </c>
      <c r="O182" s="167">
        <f t="shared" si="17"/>
        <v>99</v>
      </c>
      <c r="P182" s="483" t="e">
        <f t="shared" si="18"/>
        <v>#DIV/0!</v>
      </c>
    </row>
    <row r="183" spans="1:16" ht="32.25" customHeight="1">
      <c r="A183" s="190"/>
      <c r="B183" s="559" t="s">
        <v>607</v>
      </c>
      <c r="C183" s="560"/>
      <c r="D183" s="561"/>
      <c r="E183" s="83"/>
      <c r="F183" s="83"/>
      <c r="G183" s="83"/>
      <c r="H183" s="83"/>
      <c r="I183" s="83"/>
      <c r="J183" s="83"/>
      <c r="K183" s="83"/>
      <c r="L183" s="83">
        <v>122.4</v>
      </c>
      <c r="M183" s="167">
        <f t="shared" si="19"/>
        <v>0</v>
      </c>
      <c r="N183" s="83">
        <f t="shared" si="20"/>
        <v>122.4</v>
      </c>
      <c r="O183" s="167">
        <f t="shared" si="17"/>
        <v>122.4</v>
      </c>
      <c r="P183" s="483" t="e">
        <f t="shared" si="18"/>
        <v>#DIV/0!</v>
      </c>
    </row>
    <row r="184" spans="1:16" ht="32.25" customHeight="1">
      <c r="A184" s="190"/>
      <c r="B184" s="565" t="s">
        <v>608</v>
      </c>
      <c r="C184" s="566"/>
      <c r="D184" s="567"/>
      <c r="E184" s="83"/>
      <c r="F184" s="83"/>
      <c r="G184" s="83"/>
      <c r="H184" s="83"/>
      <c r="I184" s="83"/>
      <c r="J184" s="83"/>
      <c r="K184" s="83"/>
      <c r="L184" s="83">
        <v>8.8000000000000007</v>
      </c>
      <c r="M184" s="167">
        <f t="shared" si="19"/>
        <v>0</v>
      </c>
      <c r="N184" s="83">
        <f t="shared" si="20"/>
        <v>8.8000000000000007</v>
      </c>
      <c r="O184" s="167">
        <f t="shared" si="17"/>
        <v>8.8000000000000007</v>
      </c>
      <c r="P184" s="483" t="e">
        <f t="shared" si="18"/>
        <v>#DIV/0!</v>
      </c>
    </row>
    <row r="185" spans="1:16" ht="32.25" customHeight="1">
      <c r="A185" s="190"/>
      <c r="B185" s="559" t="s">
        <v>609</v>
      </c>
      <c r="C185" s="560"/>
      <c r="D185" s="561"/>
      <c r="E185" s="83"/>
      <c r="F185" s="83"/>
      <c r="G185" s="83"/>
      <c r="H185" s="83"/>
      <c r="I185" s="83"/>
      <c r="J185" s="83"/>
      <c r="K185" s="83"/>
      <c r="L185" s="83">
        <v>7.9</v>
      </c>
      <c r="M185" s="167">
        <f t="shared" si="19"/>
        <v>0</v>
      </c>
      <c r="N185" s="83">
        <f t="shared" si="20"/>
        <v>7.9</v>
      </c>
      <c r="O185" s="167">
        <f t="shared" si="17"/>
        <v>7.9</v>
      </c>
      <c r="P185" s="483" t="e">
        <f t="shared" si="18"/>
        <v>#DIV/0!</v>
      </c>
    </row>
    <row r="186" spans="1:16" ht="32.25" customHeight="1">
      <c r="A186" s="190"/>
      <c r="B186" s="559" t="s">
        <v>610</v>
      </c>
      <c r="C186" s="560"/>
      <c r="D186" s="561"/>
      <c r="E186" s="83"/>
      <c r="F186" s="83"/>
      <c r="G186" s="83"/>
      <c r="H186" s="83"/>
      <c r="I186" s="83"/>
      <c r="J186" s="83"/>
      <c r="K186" s="83"/>
      <c r="L186" s="83">
        <v>57.8</v>
      </c>
      <c r="M186" s="167">
        <f t="shared" si="19"/>
        <v>0</v>
      </c>
      <c r="N186" s="83">
        <f t="shared" si="20"/>
        <v>57.8</v>
      </c>
      <c r="O186" s="167">
        <f t="shared" si="17"/>
        <v>57.8</v>
      </c>
      <c r="P186" s="483" t="e">
        <f t="shared" si="18"/>
        <v>#DIV/0!</v>
      </c>
    </row>
    <row r="187" spans="1:16" ht="32.25" customHeight="1">
      <c r="A187" s="190"/>
      <c r="B187" s="559" t="s">
        <v>581</v>
      </c>
      <c r="C187" s="560"/>
      <c r="D187" s="561"/>
      <c r="E187" s="83"/>
      <c r="F187" s="83"/>
      <c r="G187" s="83"/>
      <c r="H187" s="83"/>
      <c r="I187" s="83"/>
      <c r="J187" s="83"/>
      <c r="K187" s="83"/>
      <c r="L187" s="83">
        <v>21.2</v>
      </c>
      <c r="M187" s="167">
        <f t="shared" si="19"/>
        <v>0</v>
      </c>
      <c r="N187" s="83">
        <f t="shared" si="20"/>
        <v>21.2</v>
      </c>
      <c r="O187" s="167">
        <f t="shared" si="17"/>
        <v>21.2</v>
      </c>
      <c r="P187" s="483" t="e">
        <f t="shared" si="18"/>
        <v>#DIV/0!</v>
      </c>
    </row>
    <row r="188" spans="1:16" ht="64.5" customHeight="1">
      <c r="A188" s="190"/>
      <c r="B188" s="562" t="s">
        <v>582</v>
      </c>
      <c r="C188" s="563"/>
      <c r="D188" s="564"/>
      <c r="E188" s="83"/>
      <c r="F188" s="83"/>
      <c r="G188" s="83"/>
      <c r="H188" s="83"/>
      <c r="I188" s="83"/>
      <c r="J188" s="83"/>
      <c r="K188" s="83"/>
      <c r="L188" s="83">
        <v>4</v>
      </c>
      <c r="M188" s="167">
        <f t="shared" si="19"/>
        <v>0</v>
      </c>
      <c r="N188" s="83">
        <f t="shared" si="20"/>
        <v>4</v>
      </c>
      <c r="O188" s="167">
        <f t="shared" si="17"/>
        <v>4</v>
      </c>
      <c r="P188" s="483" t="e">
        <f t="shared" si="18"/>
        <v>#DIV/0!</v>
      </c>
    </row>
    <row r="189" spans="1:16" ht="32.25" customHeight="1">
      <c r="A189" s="190"/>
      <c r="B189" s="559" t="s">
        <v>583</v>
      </c>
      <c r="C189" s="560"/>
      <c r="D189" s="561"/>
      <c r="E189" s="83"/>
      <c r="F189" s="83"/>
      <c r="G189" s="83"/>
      <c r="H189" s="83"/>
      <c r="I189" s="83"/>
      <c r="J189" s="83"/>
      <c r="K189" s="83"/>
      <c r="L189" s="83">
        <v>3.5</v>
      </c>
      <c r="M189" s="167">
        <f t="shared" si="19"/>
        <v>0</v>
      </c>
      <c r="N189" s="83">
        <f t="shared" si="20"/>
        <v>3.5</v>
      </c>
      <c r="O189" s="167">
        <f t="shared" si="17"/>
        <v>3.5</v>
      </c>
      <c r="P189" s="483" t="e">
        <f t="shared" si="18"/>
        <v>#DIV/0!</v>
      </c>
    </row>
    <row r="190" spans="1:16" ht="41.25" customHeight="1">
      <c r="A190" s="190"/>
      <c r="B190" s="562" t="s">
        <v>584</v>
      </c>
      <c r="C190" s="563"/>
      <c r="D190" s="564"/>
      <c r="E190" s="83"/>
      <c r="F190" s="83"/>
      <c r="G190" s="83"/>
      <c r="H190" s="83"/>
      <c r="I190" s="83"/>
      <c r="J190" s="83"/>
      <c r="K190" s="83"/>
      <c r="L190" s="83">
        <v>20.8</v>
      </c>
      <c r="M190" s="167">
        <f t="shared" si="19"/>
        <v>0</v>
      </c>
      <c r="N190" s="83">
        <f t="shared" si="20"/>
        <v>20.8</v>
      </c>
      <c r="O190" s="167">
        <f t="shared" si="17"/>
        <v>20.8</v>
      </c>
      <c r="P190" s="483" t="e">
        <f t="shared" si="18"/>
        <v>#DIV/0!</v>
      </c>
    </row>
    <row r="191" spans="1:16" ht="32.25" customHeight="1">
      <c r="A191" s="190"/>
      <c r="B191" s="559" t="s">
        <v>585</v>
      </c>
      <c r="C191" s="560"/>
      <c r="D191" s="561"/>
      <c r="E191" s="83"/>
      <c r="F191" s="83"/>
      <c r="G191" s="83"/>
      <c r="H191" s="83"/>
      <c r="I191" s="83"/>
      <c r="J191" s="83"/>
      <c r="K191" s="83"/>
      <c r="L191" s="83">
        <v>3.4</v>
      </c>
      <c r="M191" s="167">
        <f t="shared" si="19"/>
        <v>0</v>
      </c>
      <c r="N191" s="83">
        <f t="shared" si="20"/>
        <v>3.4</v>
      </c>
      <c r="O191" s="167">
        <f t="shared" si="17"/>
        <v>3.4</v>
      </c>
      <c r="P191" s="483" t="e">
        <f t="shared" si="18"/>
        <v>#DIV/0!</v>
      </c>
    </row>
    <row r="192" spans="1:16" ht="32.25" customHeight="1">
      <c r="A192" s="190"/>
      <c r="B192" s="559" t="s">
        <v>586</v>
      </c>
      <c r="C192" s="560"/>
      <c r="D192" s="561"/>
      <c r="E192" s="83"/>
      <c r="F192" s="83"/>
      <c r="G192" s="83"/>
      <c r="H192" s="83"/>
      <c r="I192" s="83"/>
      <c r="J192" s="83"/>
      <c r="K192" s="83"/>
      <c r="L192" s="83">
        <v>12.1</v>
      </c>
      <c r="M192" s="167">
        <f t="shared" si="19"/>
        <v>0</v>
      </c>
      <c r="N192" s="83">
        <f t="shared" si="20"/>
        <v>12.1</v>
      </c>
      <c r="O192" s="167">
        <f t="shared" si="17"/>
        <v>12.1</v>
      </c>
      <c r="P192" s="483" t="e">
        <f t="shared" si="18"/>
        <v>#DIV/0!</v>
      </c>
    </row>
    <row r="193" spans="1:16" ht="32.25" customHeight="1">
      <c r="A193" s="190"/>
      <c r="B193" s="559" t="s">
        <v>587</v>
      </c>
      <c r="C193" s="560"/>
      <c r="D193" s="561"/>
      <c r="E193" s="83"/>
      <c r="F193" s="83"/>
      <c r="G193" s="83"/>
      <c r="H193" s="83"/>
      <c r="I193" s="83"/>
      <c r="J193" s="83"/>
      <c r="K193" s="83"/>
      <c r="L193" s="83">
        <v>5.7</v>
      </c>
      <c r="M193" s="167">
        <f t="shared" si="19"/>
        <v>0</v>
      </c>
      <c r="N193" s="83">
        <f t="shared" si="20"/>
        <v>5.7</v>
      </c>
      <c r="O193" s="167">
        <f t="shared" si="17"/>
        <v>5.7</v>
      </c>
      <c r="P193" s="483" t="e">
        <f t="shared" si="18"/>
        <v>#DIV/0!</v>
      </c>
    </row>
    <row r="194" spans="1:16" ht="32.25" customHeight="1">
      <c r="A194" s="190"/>
      <c r="B194" s="559" t="s">
        <v>612</v>
      </c>
      <c r="C194" s="560"/>
      <c r="D194" s="561"/>
      <c r="E194" s="83"/>
      <c r="F194" s="83"/>
      <c r="G194" s="83"/>
      <c r="H194" s="83"/>
      <c r="I194" s="83"/>
      <c r="J194" s="83"/>
      <c r="K194" s="83"/>
      <c r="L194" s="83">
        <v>159.6</v>
      </c>
      <c r="M194" s="167">
        <f t="shared" si="19"/>
        <v>0</v>
      </c>
      <c r="N194" s="83">
        <f t="shared" si="20"/>
        <v>159.6</v>
      </c>
      <c r="O194" s="167">
        <f t="shared" si="17"/>
        <v>159.6</v>
      </c>
      <c r="P194" s="483" t="e">
        <f t="shared" si="18"/>
        <v>#DIV/0!</v>
      </c>
    </row>
    <row r="195" spans="1:16" ht="32.25" customHeight="1">
      <c r="A195" s="190"/>
      <c r="B195" s="559" t="s">
        <v>613</v>
      </c>
      <c r="C195" s="560"/>
      <c r="D195" s="561"/>
      <c r="E195" s="83"/>
      <c r="F195" s="83"/>
      <c r="G195" s="83"/>
      <c r="H195" s="83"/>
      <c r="I195" s="83"/>
      <c r="J195" s="83"/>
      <c r="K195" s="83"/>
      <c r="L195" s="83">
        <v>112.9</v>
      </c>
      <c r="M195" s="167">
        <f t="shared" si="19"/>
        <v>0</v>
      </c>
      <c r="N195" s="83">
        <f t="shared" si="20"/>
        <v>112.9</v>
      </c>
      <c r="O195" s="167">
        <f t="shared" si="17"/>
        <v>112.9</v>
      </c>
      <c r="P195" s="483" t="e">
        <f t="shared" si="18"/>
        <v>#DIV/0!</v>
      </c>
    </row>
    <row r="196" spans="1:16" ht="32.25" customHeight="1">
      <c r="A196" s="190"/>
      <c r="B196" s="559" t="s">
        <v>614</v>
      </c>
      <c r="C196" s="560"/>
      <c r="D196" s="561"/>
      <c r="E196" s="83"/>
      <c r="F196" s="83"/>
      <c r="G196" s="83"/>
      <c r="H196" s="83"/>
      <c r="I196" s="83"/>
      <c r="J196" s="83"/>
      <c r="K196" s="83"/>
      <c r="L196" s="83">
        <v>74.8</v>
      </c>
      <c r="M196" s="167">
        <f t="shared" si="19"/>
        <v>0</v>
      </c>
      <c r="N196" s="83">
        <f t="shared" si="20"/>
        <v>74.8</v>
      </c>
      <c r="O196" s="167">
        <f t="shared" si="17"/>
        <v>74.8</v>
      </c>
      <c r="P196" s="483" t="e">
        <f t="shared" si="18"/>
        <v>#DIV/0!</v>
      </c>
    </row>
    <row r="197" spans="1:16" ht="41.25" customHeight="1">
      <c r="A197" s="190"/>
      <c r="B197" s="562" t="s">
        <v>615</v>
      </c>
      <c r="C197" s="563"/>
      <c r="D197" s="564"/>
      <c r="E197" s="83"/>
      <c r="F197" s="83"/>
      <c r="G197" s="83"/>
      <c r="H197" s="83"/>
      <c r="I197" s="83"/>
      <c r="J197" s="83"/>
      <c r="K197" s="83"/>
      <c r="L197" s="83">
        <v>49.3</v>
      </c>
      <c r="M197" s="167">
        <f t="shared" si="19"/>
        <v>0</v>
      </c>
      <c r="N197" s="83">
        <f t="shared" si="20"/>
        <v>49.3</v>
      </c>
      <c r="O197" s="167">
        <f t="shared" si="17"/>
        <v>49.3</v>
      </c>
      <c r="P197" s="483" t="e">
        <f t="shared" si="18"/>
        <v>#DIV/0!</v>
      </c>
    </row>
    <row r="198" spans="1:16" ht="32.25" customHeight="1">
      <c r="A198" s="190"/>
      <c r="B198" s="562" t="s">
        <v>616</v>
      </c>
      <c r="C198" s="563"/>
      <c r="D198" s="564"/>
      <c r="E198" s="83"/>
      <c r="F198" s="83"/>
      <c r="G198" s="83"/>
      <c r="H198" s="83"/>
      <c r="I198" s="83"/>
      <c r="J198" s="83"/>
      <c r="K198" s="83"/>
      <c r="L198" s="83">
        <v>6.3</v>
      </c>
      <c r="M198" s="167">
        <f t="shared" si="19"/>
        <v>0</v>
      </c>
      <c r="N198" s="83">
        <f t="shared" si="20"/>
        <v>6.3</v>
      </c>
      <c r="O198" s="167">
        <f t="shared" si="17"/>
        <v>6.3</v>
      </c>
      <c r="P198" s="483" t="e">
        <f t="shared" si="18"/>
        <v>#DIV/0!</v>
      </c>
    </row>
    <row r="199" spans="1:16" ht="32.25" customHeight="1">
      <c r="A199" s="190"/>
      <c r="B199" s="559" t="s">
        <v>617</v>
      </c>
      <c r="C199" s="560"/>
      <c r="D199" s="561"/>
      <c r="E199" s="83"/>
      <c r="F199" s="83"/>
      <c r="G199" s="83"/>
      <c r="H199" s="83"/>
      <c r="I199" s="83"/>
      <c r="J199" s="83"/>
      <c r="K199" s="83"/>
      <c r="L199" s="83">
        <v>52.5</v>
      </c>
      <c r="M199" s="167">
        <f t="shared" si="19"/>
        <v>0</v>
      </c>
      <c r="N199" s="83">
        <f t="shared" si="20"/>
        <v>52.5</v>
      </c>
      <c r="O199" s="167">
        <f t="shared" si="17"/>
        <v>52.5</v>
      </c>
      <c r="P199" s="483" t="e">
        <f t="shared" si="18"/>
        <v>#DIV/0!</v>
      </c>
    </row>
    <row r="200" spans="1:16" ht="32.25" customHeight="1">
      <c r="A200" s="190"/>
      <c r="B200" s="559" t="s">
        <v>588</v>
      </c>
      <c r="C200" s="560"/>
      <c r="D200" s="561"/>
      <c r="E200" s="83"/>
      <c r="F200" s="83"/>
      <c r="G200" s="83"/>
      <c r="H200" s="83"/>
      <c r="I200" s="83"/>
      <c r="J200" s="83"/>
      <c r="K200" s="83"/>
      <c r="L200" s="83">
        <v>3.2</v>
      </c>
      <c r="M200" s="167">
        <f t="shared" si="19"/>
        <v>0</v>
      </c>
      <c r="N200" s="83">
        <f t="shared" si="20"/>
        <v>3.2</v>
      </c>
      <c r="O200" s="167">
        <f t="shared" si="17"/>
        <v>3.2</v>
      </c>
      <c r="P200" s="483" t="e">
        <f t="shared" si="18"/>
        <v>#DIV/0!</v>
      </c>
    </row>
    <row r="201" spans="1:16" ht="32.25" customHeight="1">
      <c r="A201" s="190"/>
      <c r="B201" s="559" t="s">
        <v>589</v>
      </c>
      <c r="C201" s="560"/>
      <c r="D201" s="561"/>
      <c r="E201" s="83"/>
      <c r="F201" s="83"/>
      <c r="G201" s="83"/>
      <c r="H201" s="83"/>
      <c r="I201" s="83"/>
      <c r="J201" s="83"/>
      <c r="K201" s="83"/>
      <c r="L201" s="83">
        <v>8.1999999999999993</v>
      </c>
      <c r="M201" s="167">
        <f t="shared" si="19"/>
        <v>0</v>
      </c>
      <c r="N201" s="83">
        <f t="shared" si="20"/>
        <v>8.1999999999999993</v>
      </c>
      <c r="O201" s="167">
        <f t="shared" si="17"/>
        <v>8.1999999999999993</v>
      </c>
      <c r="P201" s="483" t="e">
        <f t="shared" si="18"/>
        <v>#DIV/0!</v>
      </c>
    </row>
    <row r="202" spans="1:16" ht="32.25" customHeight="1">
      <c r="A202" s="190"/>
      <c r="B202" s="559" t="s">
        <v>590</v>
      </c>
      <c r="C202" s="560"/>
      <c r="D202" s="561"/>
      <c r="E202" s="83"/>
      <c r="F202" s="83"/>
      <c r="G202" s="83"/>
      <c r="H202" s="83"/>
      <c r="I202" s="83"/>
      <c r="J202" s="83"/>
      <c r="K202" s="83"/>
      <c r="L202" s="83">
        <v>3.7</v>
      </c>
      <c r="M202" s="167">
        <f t="shared" si="19"/>
        <v>0</v>
      </c>
      <c r="N202" s="83">
        <f t="shared" si="20"/>
        <v>3.7</v>
      </c>
      <c r="O202" s="167">
        <f t="shared" si="17"/>
        <v>3.7</v>
      </c>
      <c r="P202" s="483" t="e">
        <f t="shared" si="18"/>
        <v>#DIV/0!</v>
      </c>
    </row>
    <row r="203" spans="1:16" ht="32.25" customHeight="1">
      <c r="A203" s="190"/>
      <c r="B203" s="559" t="s">
        <v>629</v>
      </c>
      <c r="C203" s="560"/>
      <c r="D203" s="561"/>
      <c r="E203" s="83"/>
      <c r="F203" s="83"/>
      <c r="G203" s="83"/>
      <c r="H203" s="83"/>
      <c r="I203" s="83"/>
      <c r="J203" s="83"/>
      <c r="K203" s="83"/>
      <c r="L203" s="196">
        <v>41.6</v>
      </c>
      <c r="M203" s="167">
        <f t="shared" si="19"/>
        <v>0</v>
      </c>
      <c r="N203" s="83">
        <f t="shared" si="20"/>
        <v>41.6</v>
      </c>
      <c r="O203" s="167">
        <f t="shared" si="17"/>
        <v>41.6</v>
      </c>
      <c r="P203" s="483" t="e">
        <f t="shared" si="18"/>
        <v>#DIV/0!</v>
      </c>
    </row>
    <row r="204" spans="1:16" ht="32.25" customHeight="1">
      <c r="A204" s="190"/>
      <c r="B204" s="453" t="s">
        <v>627</v>
      </c>
      <c r="C204" s="451"/>
      <c r="D204" s="452"/>
      <c r="E204" s="83"/>
      <c r="F204" s="83"/>
      <c r="G204" s="83"/>
      <c r="H204" s="83"/>
      <c r="I204" s="83"/>
      <c r="J204" s="83"/>
      <c r="K204" s="83"/>
      <c r="L204" s="196">
        <v>8.6999999999999993</v>
      </c>
      <c r="M204" s="167">
        <f t="shared" si="19"/>
        <v>0</v>
      </c>
      <c r="N204" s="83">
        <f t="shared" si="20"/>
        <v>8.6999999999999993</v>
      </c>
      <c r="O204" s="167">
        <f t="shared" ref="O204:O227" si="21">N204-M204</f>
        <v>8.6999999999999993</v>
      </c>
      <c r="P204" s="483" t="e">
        <f t="shared" ref="P204:P227" si="22">(N204/M204)*100</f>
        <v>#DIV/0!</v>
      </c>
    </row>
    <row r="205" spans="1:16" ht="32.25" customHeight="1">
      <c r="A205" s="190"/>
      <c r="B205" s="559" t="s">
        <v>591</v>
      </c>
      <c r="C205" s="560"/>
      <c r="D205" s="561"/>
      <c r="E205" s="83"/>
      <c r="F205" s="83"/>
      <c r="G205" s="83"/>
      <c r="H205" s="83"/>
      <c r="I205" s="83"/>
      <c r="J205" s="83"/>
      <c r="K205" s="83"/>
      <c r="L205" s="83">
        <v>10.5</v>
      </c>
      <c r="M205" s="167">
        <f t="shared" si="19"/>
        <v>0</v>
      </c>
      <c r="N205" s="83">
        <f t="shared" si="20"/>
        <v>10.5</v>
      </c>
      <c r="O205" s="167">
        <f t="shared" si="21"/>
        <v>10.5</v>
      </c>
      <c r="P205" s="483" t="e">
        <f t="shared" si="22"/>
        <v>#DIV/0!</v>
      </c>
    </row>
    <row r="206" spans="1:16" ht="32.25" customHeight="1">
      <c r="A206" s="190"/>
      <c r="B206" s="559" t="s">
        <v>618</v>
      </c>
      <c r="C206" s="560"/>
      <c r="D206" s="561"/>
      <c r="E206" s="83"/>
      <c r="F206" s="83"/>
      <c r="G206" s="83"/>
      <c r="H206" s="83"/>
      <c r="I206" s="83"/>
      <c r="J206" s="83"/>
      <c r="K206" s="83"/>
      <c r="L206" s="83">
        <v>40.200000000000003</v>
      </c>
      <c r="M206" s="167">
        <f t="shared" si="19"/>
        <v>0</v>
      </c>
      <c r="N206" s="83">
        <f t="shared" si="20"/>
        <v>40.200000000000003</v>
      </c>
      <c r="O206" s="167">
        <f t="shared" si="21"/>
        <v>40.200000000000003</v>
      </c>
      <c r="P206" s="483" t="e">
        <f t="shared" si="22"/>
        <v>#DIV/0!</v>
      </c>
    </row>
    <row r="207" spans="1:16" ht="32.25" customHeight="1">
      <c r="A207" s="190"/>
      <c r="B207" s="559" t="s">
        <v>592</v>
      </c>
      <c r="C207" s="560"/>
      <c r="D207" s="561"/>
      <c r="E207" s="83"/>
      <c r="F207" s="83"/>
      <c r="G207" s="83"/>
      <c r="H207" s="83"/>
      <c r="I207" s="83"/>
      <c r="J207" s="83"/>
      <c r="K207" s="83"/>
      <c r="L207" s="83">
        <v>7.6</v>
      </c>
      <c r="M207" s="167">
        <f t="shared" si="19"/>
        <v>0</v>
      </c>
      <c r="N207" s="83">
        <f t="shared" si="20"/>
        <v>7.6</v>
      </c>
      <c r="O207" s="167">
        <f t="shared" si="21"/>
        <v>7.6</v>
      </c>
      <c r="P207" s="483" t="e">
        <f t="shared" si="22"/>
        <v>#DIV/0!</v>
      </c>
    </row>
    <row r="208" spans="1:16" ht="38.25" customHeight="1">
      <c r="A208" s="190"/>
      <c r="B208" s="553" t="s">
        <v>593</v>
      </c>
      <c r="C208" s="554"/>
      <c r="D208" s="555"/>
      <c r="E208" s="83"/>
      <c r="F208" s="83"/>
      <c r="G208" s="83"/>
      <c r="H208" s="83"/>
      <c r="I208" s="83"/>
      <c r="J208" s="83"/>
      <c r="K208" s="83"/>
      <c r="L208" s="83">
        <v>8.6</v>
      </c>
      <c r="M208" s="167">
        <f t="shared" si="19"/>
        <v>0</v>
      </c>
      <c r="N208" s="83">
        <f t="shared" si="20"/>
        <v>8.6</v>
      </c>
      <c r="O208" s="167">
        <f t="shared" si="21"/>
        <v>8.6</v>
      </c>
      <c r="P208" s="483" t="e">
        <f t="shared" si="22"/>
        <v>#DIV/0!</v>
      </c>
    </row>
    <row r="209" spans="1:21" ht="32.25" customHeight="1">
      <c r="A209" s="190"/>
      <c r="B209" s="559" t="s">
        <v>626</v>
      </c>
      <c r="C209" s="560"/>
      <c r="D209" s="561"/>
      <c r="E209" s="83"/>
      <c r="F209" s="83"/>
      <c r="G209" s="83"/>
      <c r="H209" s="83"/>
      <c r="I209" s="83"/>
      <c r="J209" s="83"/>
      <c r="K209" s="83"/>
      <c r="L209" s="83">
        <v>12.4</v>
      </c>
      <c r="M209" s="167">
        <f t="shared" si="19"/>
        <v>0</v>
      </c>
      <c r="N209" s="83">
        <f t="shared" si="20"/>
        <v>12.4</v>
      </c>
      <c r="O209" s="167">
        <f t="shared" si="21"/>
        <v>12.4</v>
      </c>
      <c r="P209" s="483" t="e">
        <f t="shared" si="22"/>
        <v>#DIV/0!</v>
      </c>
    </row>
    <row r="210" spans="1:21" ht="32.25" customHeight="1">
      <c r="A210" s="190"/>
      <c r="B210" s="559" t="s">
        <v>625</v>
      </c>
      <c r="C210" s="560"/>
      <c r="D210" s="561"/>
      <c r="E210" s="83"/>
      <c r="F210" s="83"/>
      <c r="G210" s="83"/>
      <c r="H210" s="83"/>
      <c r="I210" s="83"/>
      <c r="J210" s="83"/>
      <c r="K210" s="83"/>
      <c r="L210" s="83">
        <v>37.4</v>
      </c>
      <c r="M210" s="167">
        <f t="shared" si="19"/>
        <v>0</v>
      </c>
      <c r="N210" s="83">
        <f t="shared" si="20"/>
        <v>37.4</v>
      </c>
      <c r="O210" s="167">
        <f t="shared" si="21"/>
        <v>37.4</v>
      </c>
      <c r="P210" s="483" t="e">
        <f t="shared" si="22"/>
        <v>#DIV/0!</v>
      </c>
    </row>
    <row r="211" spans="1:21" ht="32.25" customHeight="1">
      <c r="A211" s="190"/>
      <c r="B211" s="559" t="s">
        <v>594</v>
      </c>
      <c r="C211" s="560"/>
      <c r="D211" s="561"/>
      <c r="E211" s="83"/>
      <c r="F211" s="83"/>
      <c r="G211" s="83"/>
      <c r="H211" s="83"/>
      <c r="I211" s="83"/>
      <c r="J211" s="83"/>
      <c r="K211" s="83"/>
      <c r="L211" s="83">
        <v>6.4</v>
      </c>
      <c r="M211" s="167">
        <f t="shared" si="19"/>
        <v>0</v>
      </c>
      <c r="N211" s="83">
        <f t="shared" si="20"/>
        <v>6.4</v>
      </c>
      <c r="O211" s="167">
        <f t="shared" si="21"/>
        <v>6.4</v>
      </c>
      <c r="P211" s="483" t="e">
        <f t="shared" si="22"/>
        <v>#DIV/0!</v>
      </c>
    </row>
    <row r="212" spans="1:21" ht="32.25" customHeight="1">
      <c r="A212" s="190"/>
      <c r="B212" s="559" t="s">
        <v>624</v>
      </c>
      <c r="C212" s="560"/>
      <c r="D212" s="561"/>
      <c r="E212" s="83"/>
      <c r="F212" s="83"/>
      <c r="G212" s="83"/>
      <c r="H212" s="83"/>
      <c r="I212" s="83"/>
      <c r="J212" s="83"/>
      <c r="K212" s="83"/>
      <c r="L212" s="83">
        <v>58.1</v>
      </c>
      <c r="M212" s="167">
        <f t="shared" si="19"/>
        <v>0</v>
      </c>
      <c r="N212" s="83">
        <f t="shared" si="20"/>
        <v>58.1</v>
      </c>
      <c r="O212" s="167">
        <f t="shared" si="21"/>
        <v>58.1</v>
      </c>
      <c r="P212" s="483" t="e">
        <f t="shared" si="22"/>
        <v>#DIV/0!</v>
      </c>
    </row>
    <row r="213" spans="1:21" ht="32.25" customHeight="1">
      <c r="A213" s="190"/>
      <c r="B213" s="559" t="s">
        <v>623</v>
      </c>
      <c r="C213" s="560"/>
      <c r="D213" s="561"/>
      <c r="E213" s="83"/>
      <c r="F213" s="83"/>
      <c r="G213" s="83"/>
      <c r="H213" s="83"/>
      <c r="I213" s="83"/>
      <c r="J213" s="83"/>
      <c r="K213" s="83"/>
      <c r="L213" s="83">
        <v>14.4</v>
      </c>
      <c r="M213" s="167">
        <f t="shared" si="19"/>
        <v>0</v>
      </c>
      <c r="N213" s="83">
        <f t="shared" si="20"/>
        <v>14.4</v>
      </c>
      <c r="O213" s="167">
        <f t="shared" si="21"/>
        <v>14.4</v>
      </c>
      <c r="P213" s="483" t="e">
        <f t="shared" si="22"/>
        <v>#DIV/0!</v>
      </c>
    </row>
    <row r="214" spans="1:21" ht="32.25" customHeight="1">
      <c r="A214" s="190"/>
      <c r="B214" s="559" t="s">
        <v>622</v>
      </c>
      <c r="C214" s="560"/>
      <c r="D214" s="561"/>
      <c r="E214" s="83"/>
      <c r="F214" s="83"/>
      <c r="G214" s="83"/>
      <c r="H214" s="83"/>
      <c r="I214" s="83"/>
      <c r="J214" s="83"/>
      <c r="K214" s="83"/>
      <c r="L214" s="83">
        <v>33.6</v>
      </c>
      <c r="M214" s="167">
        <f t="shared" si="19"/>
        <v>0</v>
      </c>
      <c r="N214" s="83">
        <f t="shared" si="20"/>
        <v>33.6</v>
      </c>
      <c r="O214" s="167">
        <f t="shared" si="21"/>
        <v>33.6</v>
      </c>
      <c r="P214" s="483" t="e">
        <f t="shared" si="22"/>
        <v>#DIV/0!</v>
      </c>
    </row>
    <row r="215" spans="1:21" ht="32.25" customHeight="1">
      <c r="A215" s="190"/>
      <c r="B215" s="559" t="s">
        <v>621</v>
      </c>
      <c r="C215" s="560"/>
      <c r="D215" s="561"/>
      <c r="E215" s="83"/>
      <c r="F215" s="83"/>
      <c r="G215" s="83"/>
      <c r="H215" s="83"/>
      <c r="I215" s="83"/>
      <c r="J215" s="83"/>
      <c r="K215" s="83"/>
      <c r="L215" s="83">
        <v>112.3</v>
      </c>
      <c r="M215" s="167">
        <f t="shared" si="19"/>
        <v>0</v>
      </c>
      <c r="N215" s="83">
        <f t="shared" si="20"/>
        <v>112.3</v>
      </c>
      <c r="O215" s="167">
        <f t="shared" si="21"/>
        <v>112.3</v>
      </c>
      <c r="P215" s="483" t="e">
        <f t="shared" si="22"/>
        <v>#DIV/0!</v>
      </c>
    </row>
    <row r="216" spans="1:21" ht="32.25" customHeight="1">
      <c r="A216" s="190"/>
      <c r="B216" s="559" t="s">
        <v>595</v>
      </c>
      <c r="C216" s="560"/>
      <c r="D216" s="561"/>
      <c r="E216" s="83"/>
      <c r="F216" s="83"/>
      <c r="G216" s="83"/>
      <c r="H216" s="83"/>
      <c r="I216" s="83"/>
      <c r="J216" s="83"/>
      <c r="K216" s="83"/>
      <c r="L216" s="83">
        <v>10.199999999999999</v>
      </c>
      <c r="M216" s="167">
        <f t="shared" si="19"/>
        <v>0</v>
      </c>
      <c r="N216" s="83">
        <f t="shared" si="20"/>
        <v>10.199999999999999</v>
      </c>
      <c r="O216" s="167">
        <f t="shared" si="21"/>
        <v>10.199999999999999</v>
      </c>
      <c r="P216" s="483" t="e">
        <f t="shared" si="22"/>
        <v>#DIV/0!</v>
      </c>
    </row>
    <row r="217" spans="1:21" ht="32.25" customHeight="1">
      <c r="A217" s="190"/>
      <c r="B217" s="559" t="s">
        <v>620</v>
      </c>
      <c r="C217" s="560"/>
      <c r="D217" s="561"/>
      <c r="E217" s="83"/>
      <c r="F217" s="83"/>
      <c r="G217" s="83"/>
      <c r="H217" s="83"/>
      <c r="I217" s="83"/>
      <c r="J217" s="83"/>
      <c r="K217" s="83"/>
      <c r="L217" s="83">
        <v>54.6</v>
      </c>
      <c r="M217" s="167">
        <f t="shared" ref="M217:M218" si="23">E217+G217+I217+K217</f>
        <v>0</v>
      </c>
      <c r="N217" s="83">
        <f t="shared" ref="N217:N218" si="24">F217+H217+J217+L217</f>
        <v>54.6</v>
      </c>
      <c r="O217" s="167">
        <f t="shared" si="21"/>
        <v>54.6</v>
      </c>
      <c r="P217" s="483" t="e">
        <f t="shared" si="22"/>
        <v>#DIV/0!</v>
      </c>
    </row>
    <row r="218" spans="1:21" ht="32.25" customHeight="1">
      <c r="A218" s="190"/>
      <c r="B218" s="559" t="s">
        <v>619</v>
      </c>
      <c r="C218" s="560"/>
      <c r="D218" s="561"/>
      <c r="E218" s="83"/>
      <c r="F218" s="83"/>
      <c r="G218" s="83"/>
      <c r="H218" s="83"/>
      <c r="I218" s="83"/>
      <c r="J218" s="83"/>
      <c r="K218" s="83"/>
      <c r="L218" s="83">
        <v>7.9</v>
      </c>
      <c r="M218" s="167">
        <f t="shared" si="23"/>
        <v>0</v>
      </c>
      <c r="N218" s="83">
        <f t="shared" si="24"/>
        <v>7.9</v>
      </c>
      <c r="O218" s="167">
        <f t="shared" si="21"/>
        <v>7.9</v>
      </c>
      <c r="P218" s="483" t="e">
        <f t="shared" si="22"/>
        <v>#DIV/0!</v>
      </c>
    </row>
    <row r="219" spans="1:21" s="430" customFormat="1" ht="66" customHeight="1">
      <c r="A219" s="290">
        <v>4</v>
      </c>
      <c r="B219" s="577" t="s">
        <v>456</v>
      </c>
      <c r="C219" s="578" t="s">
        <v>62</v>
      </c>
      <c r="D219" s="579" t="s">
        <v>62</v>
      </c>
      <c r="E219" s="291">
        <f t="shared" ref="E219:M219" si="25">E220+E221</f>
        <v>0</v>
      </c>
      <c r="F219" s="291">
        <f t="shared" si="25"/>
        <v>0</v>
      </c>
      <c r="G219" s="291">
        <f t="shared" si="25"/>
        <v>4243.2</v>
      </c>
      <c r="H219" s="291">
        <f t="shared" si="25"/>
        <v>4082.6000000000004</v>
      </c>
      <c r="I219" s="291">
        <f t="shared" si="25"/>
        <v>0</v>
      </c>
      <c r="J219" s="291">
        <f t="shared" si="25"/>
        <v>65.5</v>
      </c>
      <c r="K219" s="291">
        <f t="shared" si="25"/>
        <v>0</v>
      </c>
      <c r="L219" s="291">
        <f t="shared" si="25"/>
        <v>9.8000000000000007</v>
      </c>
      <c r="M219" s="291">
        <f t="shared" si="25"/>
        <v>4243.2</v>
      </c>
      <c r="N219" s="291">
        <f>F219+H219+J219+L219</f>
        <v>4157.9000000000005</v>
      </c>
      <c r="O219" s="291">
        <f t="shared" si="21"/>
        <v>-85.299999999999272</v>
      </c>
      <c r="P219" s="484">
        <f t="shared" si="22"/>
        <v>97.989724736048274</v>
      </c>
    </row>
    <row r="220" spans="1:21" ht="100.5" customHeight="1">
      <c r="A220" s="190"/>
      <c r="B220" s="562" t="s">
        <v>328</v>
      </c>
      <c r="C220" s="563"/>
      <c r="D220" s="564"/>
      <c r="E220" s="83"/>
      <c r="F220" s="83"/>
      <c r="G220" s="83">
        <v>2589.1999999999998</v>
      </c>
      <c r="H220" s="166">
        <f>1565.9+913</f>
        <v>2478.9</v>
      </c>
      <c r="I220" s="83"/>
      <c r="J220" s="83"/>
      <c r="K220" s="83"/>
      <c r="L220" s="83"/>
      <c r="M220" s="83">
        <f>E220+G220+I220+K220</f>
        <v>2589.1999999999998</v>
      </c>
      <c r="N220" s="83">
        <f>F220+H220+J220+L220</f>
        <v>2478.9</v>
      </c>
      <c r="O220" s="167">
        <f t="shared" si="21"/>
        <v>-110.29999999999973</v>
      </c>
      <c r="P220" s="477">
        <f t="shared" si="22"/>
        <v>95.739996910242553</v>
      </c>
    </row>
    <row r="221" spans="1:21" ht="151.5" customHeight="1">
      <c r="A221" s="190"/>
      <c r="B221" s="562" t="s">
        <v>535</v>
      </c>
      <c r="C221" s="563"/>
      <c r="D221" s="564"/>
      <c r="E221" s="83"/>
      <c r="F221" s="83"/>
      <c r="G221" s="83">
        <v>1654</v>
      </c>
      <c r="H221" s="166">
        <v>1603.7</v>
      </c>
      <c r="I221" s="83"/>
      <c r="J221" s="83">
        <v>65.5</v>
      </c>
      <c r="K221" s="227"/>
      <c r="L221" s="227">
        <v>9.8000000000000007</v>
      </c>
      <c r="M221" s="83">
        <f>E221+G221+I221+K221</f>
        <v>1654</v>
      </c>
      <c r="N221" s="83">
        <f>F221+H221+J221+L221</f>
        <v>1679</v>
      </c>
      <c r="O221" s="167">
        <f t="shared" si="21"/>
        <v>25</v>
      </c>
      <c r="P221" s="477">
        <f t="shared" si="22"/>
        <v>101.51148730350666</v>
      </c>
      <c r="T221" s="422" t="s">
        <v>705</v>
      </c>
    </row>
    <row r="222" spans="1:21" ht="33.75" customHeight="1">
      <c r="A222" s="290">
        <v>5</v>
      </c>
      <c r="B222" s="577" t="s">
        <v>242</v>
      </c>
      <c r="C222" s="578"/>
      <c r="D222" s="579"/>
      <c r="E222" s="291">
        <f t="shared" ref="E222:M222" si="26">SUM(E223:E227)</f>
        <v>0</v>
      </c>
      <c r="F222" s="291">
        <f t="shared" si="26"/>
        <v>0</v>
      </c>
      <c r="G222" s="291">
        <f t="shared" si="26"/>
        <v>25170.6</v>
      </c>
      <c r="H222" s="291">
        <f t="shared" si="26"/>
        <v>14983.5</v>
      </c>
      <c r="I222" s="291">
        <f t="shared" si="26"/>
        <v>0</v>
      </c>
      <c r="J222" s="291">
        <f t="shared" si="26"/>
        <v>8.5</v>
      </c>
      <c r="K222" s="291">
        <f t="shared" si="26"/>
        <v>0</v>
      </c>
      <c r="L222" s="291">
        <f t="shared" si="26"/>
        <v>507.7</v>
      </c>
      <c r="M222" s="291">
        <f t="shared" si="26"/>
        <v>25170.6</v>
      </c>
      <c r="N222" s="291">
        <f>SUM(N223:N227)</f>
        <v>15499.7</v>
      </c>
      <c r="O222" s="291">
        <f t="shared" si="21"/>
        <v>-9670.8999999999978</v>
      </c>
      <c r="P222" s="486">
        <f t="shared" si="22"/>
        <v>61.578587717416355</v>
      </c>
    </row>
    <row r="223" spans="1:21" ht="88.5" customHeight="1">
      <c r="A223" s="431"/>
      <c r="B223" s="562" t="s">
        <v>520</v>
      </c>
      <c r="C223" s="563"/>
      <c r="D223" s="564"/>
      <c r="E223" s="228"/>
      <c r="F223" s="83"/>
      <c r="G223" s="83">
        <f>14560.4</f>
        <v>14560.4</v>
      </c>
      <c r="H223" s="196">
        <v>6908.5</v>
      </c>
      <c r="I223" s="83"/>
      <c r="J223" s="83"/>
      <c r="K223" s="83"/>
      <c r="L223" s="83">
        <v>439.7</v>
      </c>
      <c r="M223" s="83">
        <f>E223+G223+I223+K223</f>
        <v>14560.4</v>
      </c>
      <c r="N223" s="83">
        <f>F223+H223+J223+L223</f>
        <v>7348.2</v>
      </c>
      <c r="O223" s="167">
        <f t="shared" si="21"/>
        <v>-7212.2</v>
      </c>
      <c r="P223" s="475">
        <f t="shared" si="22"/>
        <v>50.467020136809424</v>
      </c>
      <c r="U223" s="422" t="s">
        <v>706</v>
      </c>
    </row>
    <row r="224" spans="1:21" ht="96" customHeight="1">
      <c r="A224" s="431"/>
      <c r="B224" s="562" t="s">
        <v>521</v>
      </c>
      <c r="C224" s="563"/>
      <c r="D224" s="564"/>
      <c r="E224" s="228"/>
      <c r="F224" s="83"/>
      <c r="G224" s="83">
        <v>5404.2</v>
      </c>
      <c r="H224" s="196">
        <v>4797.5</v>
      </c>
      <c r="I224" s="83"/>
      <c r="J224" s="83"/>
      <c r="K224" s="83"/>
      <c r="L224" s="83"/>
      <c r="M224" s="83">
        <f t="shared" ref="M224:M227" si="27">E224+G224+I224+K224</f>
        <v>5404.2</v>
      </c>
      <c r="N224" s="83">
        <f t="shared" ref="N224:N227" si="28">F224+H224+J224+L224</f>
        <v>4797.5</v>
      </c>
      <c r="O224" s="167">
        <f t="shared" si="21"/>
        <v>-606.69999999999982</v>
      </c>
      <c r="P224" s="475">
        <f t="shared" si="22"/>
        <v>88.773546500869699</v>
      </c>
      <c r="U224" s="422" t="s">
        <v>707</v>
      </c>
    </row>
    <row r="225" spans="1:21" ht="167.25" customHeight="1">
      <c r="A225" s="431"/>
      <c r="B225" s="580" t="s">
        <v>536</v>
      </c>
      <c r="C225" s="581"/>
      <c r="D225" s="582"/>
      <c r="E225" s="228"/>
      <c r="F225" s="83"/>
      <c r="G225" s="83">
        <v>2878.4</v>
      </c>
      <c r="H225" s="196">
        <v>2878.4</v>
      </c>
      <c r="I225" s="83"/>
      <c r="J225" s="83">
        <v>8.5</v>
      </c>
      <c r="K225" s="83"/>
      <c r="L225" s="83">
        <v>68</v>
      </c>
      <c r="M225" s="83">
        <f t="shared" si="27"/>
        <v>2878.4</v>
      </c>
      <c r="N225" s="83">
        <f t="shared" si="28"/>
        <v>2954.9</v>
      </c>
      <c r="O225" s="167">
        <f t="shared" si="21"/>
        <v>76.5</v>
      </c>
      <c r="P225" s="475">
        <f t="shared" si="22"/>
        <v>102.6577265147304</v>
      </c>
      <c r="U225" s="422" t="s">
        <v>708</v>
      </c>
    </row>
    <row r="226" spans="1:21" ht="131.25" customHeight="1">
      <c r="A226" s="431"/>
      <c r="B226" s="580" t="s">
        <v>537</v>
      </c>
      <c r="C226" s="581"/>
      <c r="D226" s="582"/>
      <c r="E226" s="228"/>
      <c r="F226" s="83"/>
      <c r="G226" s="83">
        <v>1977.6</v>
      </c>
      <c r="H226" s="83"/>
      <c r="I226" s="83"/>
      <c r="J226" s="83"/>
      <c r="K226" s="83"/>
      <c r="L226" s="83"/>
      <c r="M226" s="83">
        <f t="shared" si="27"/>
        <v>1977.6</v>
      </c>
      <c r="N226" s="83">
        <f t="shared" si="28"/>
        <v>0</v>
      </c>
      <c r="O226" s="167">
        <f t="shared" si="21"/>
        <v>-1977.6</v>
      </c>
      <c r="P226" s="475">
        <f t="shared" si="22"/>
        <v>0</v>
      </c>
    </row>
    <row r="227" spans="1:21" ht="138" customHeight="1">
      <c r="A227" s="431"/>
      <c r="B227" s="580" t="s">
        <v>538</v>
      </c>
      <c r="C227" s="581"/>
      <c r="D227" s="582"/>
      <c r="E227" s="228"/>
      <c r="F227" s="83"/>
      <c r="G227" s="83">
        <v>350</v>
      </c>
      <c r="H227" s="83">
        <v>399.1</v>
      </c>
      <c r="I227" s="83"/>
      <c r="J227" s="83"/>
      <c r="K227" s="83"/>
      <c r="L227" s="83"/>
      <c r="M227" s="83">
        <f t="shared" si="27"/>
        <v>350</v>
      </c>
      <c r="N227" s="83">
        <f t="shared" si="28"/>
        <v>399.1</v>
      </c>
      <c r="O227" s="167">
        <f t="shared" si="21"/>
        <v>49.100000000000023</v>
      </c>
      <c r="P227" s="475">
        <f t="shared" si="22"/>
        <v>114.02857142857144</v>
      </c>
    </row>
    <row r="228" spans="1:21" ht="40.5" customHeight="1">
      <c r="A228" s="568" t="s">
        <v>9</v>
      </c>
      <c r="B228" s="569"/>
      <c r="C228" s="569"/>
      <c r="D228" s="569"/>
      <c r="E228" s="167">
        <f>E9+E73</f>
        <v>0</v>
      </c>
      <c r="F228" s="167">
        <f>F9+F73</f>
        <v>0</v>
      </c>
      <c r="G228" s="167">
        <f>G9+G73+G222+G219+G7</f>
        <v>31463.8</v>
      </c>
      <c r="H228" s="167">
        <f t="shared" ref="H228:O228" si="29">H9+H73+H222+H219</f>
        <v>22267.9</v>
      </c>
      <c r="I228" s="167">
        <f t="shared" si="29"/>
        <v>0</v>
      </c>
      <c r="J228" s="167">
        <f t="shared" si="29"/>
        <v>637.4</v>
      </c>
      <c r="K228" s="167">
        <f t="shared" si="29"/>
        <v>0</v>
      </c>
      <c r="L228" s="167">
        <f t="shared" si="29"/>
        <v>12008.199999999997</v>
      </c>
      <c r="M228" s="167">
        <f>M9+M73+M222+M219+M7</f>
        <v>31463.8</v>
      </c>
      <c r="N228" s="167">
        <f>N9+N73+N222+N219+N7</f>
        <v>36696.800000000003</v>
      </c>
      <c r="O228" s="167">
        <f t="shared" si="29"/>
        <v>3589.7000000000007</v>
      </c>
      <c r="P228" s="477">
        <f>(N228/M228)*100</f>
        <v>116.63181179641367</v>
      </c>
    </row>
    <row r="229" spans="1:21" ht="20.100000000000001" customHeight="1">
      <c r="A229" s="432"/>
      <c r="B229" s="433"/>
      <c r="C229" s="434"/>
      <c r="D229" s="434"/>
      <c r="E229" s="435"/>
      <c r="F229" s="435"/>
      <c r="G229" s="435"/>
      <c r="H229" s="435"/>
      <c r="I229" s="435"/>
      <c r="J229" s="432"/>
      <c r="K229" s="435"/>
      <c r="L229" s="432"/>
    </row>
    <row r="230" spans="1:21" ht="6.75" customHeight="1">
      <c r="A230" s="436"/>
      <c r="B230" s="186"/>
      <c r="C230" s="437"/>
      <c r="D230" s="437"/>
      <c r="E230" s="438"/>
      <c r="F230" s="438"/>
      <c r="G230" s="438"/>
      <c r="H230" s="438"/>
      <c r="I230" s="438"/>
      <c r="J230" s="438"/>
    </row>
    <row r="231" spans="1:21" ht="18" hidden="1" customHeight="1">
      <c r="A231" s="436"/>
      <c r="B231" s="186"/>
      <c r="C231" s="437"/>
      <c r="D231" s="437"/>
      <c r="E231" s="438"/>
      <c r="F231" s="438"/>
      <c r="G231" s="438"/>
      <c r="H231" s="438"/>
      <c r="I231" s="438"/>
      <c r="J231" s="438"/>
    </row>
    <row r="232" spans="1:21" s="439" customFormat="1" ht="19.5" hidden="1" customHeight="1">
      <c r="B232" s="422"/>
      <c r="C232" s="186"/>
      <c r="D232" s="186"/>
      <c r="E232" s="424"/>
      <c r="F232" s="424"/>
      <c r="N232" s="440"/>
      <c r="O232" s="440"/>
      <c r="P232" s="493"/>
    </row>
    <row r="233" spans="1:21" s="441" customFormat="1" ht="32.25" customHeight="1">
      <c r="B233" s="572" t="s">
        <v>709</v>
      </c>
      <c r="C233" s="573"/>
      <c r="D233" s="573"/>
      <c r="E233" s="442"/>
      <c r="F233" s="442"/>
      <c r="G233" s="574"/>
      <c r="H233" s="574"/>
      <c r="I233" s="574"/>
      <c r="J233" s="443"/>
      <c r="K233" s="575" t="s">
        <v>180</v>
      </c>
      <c r="L233" s="575"/>
      <c r="M233" s="575"/>
      <c r="N233" s="444"/>
      <c r="O233" s="444"/>
      <c r="P233" s="494"/>
    </row>
    <row r="234" spans="1:21" s="439" customFormat="1" ht="19.5" customHeight="1">
      <c r="B234" s="576" t="s">
        <v>10</v>
      </c>
      <c r="C234" s="576"/>
      <c r="D234" s="576"/>
      <c r="E234" s="445"/>
      <c r="F234" s="445"/>
      <c r="G234" s="446"/>
      <c r="H234" s="447" t="s">
        <v>11</v>
      </c>
      <c r="I234" s="446"/>
      <c r="J234" s="445"/>
      <c r="K234" s="576" t="s">
        <v>17</v>
      </c>
      <c r="L234" s="576"/>
      <c r="M234" s="576"/>
      <c r="N234" s="440"/>
      <c r="O234" s="440"/>
      <c r="P234" s="493"/>
    </row>
    <row r="235" spans="1:21" ht="20.100000000000001" customHeight="1">
      <c r="B235" s="448"/>
      <c r="C235" s="448"/>
      <c r="D235" s="448"/>
      <c r="E235" s="449"/>
      <c r="F235" s="449"/>
      <c r="G235" s="449"/>
      <c r="H235" s="449"/>
      <c r="I235" s="449"/>
      <c r="J235" s="449"/>
    </row>
    <row r="236" spans="1:21" ht="20.100000000000001" customHeight="1">
      <c r="B236" s="448"/>
      <c r="C236" s="448"/>
      <c r="D236" s="448"/>
      <c r="E236" s="448"/>
      <c r="F236" s="448"/>
      <c r="G236" s="448"/>
      <c r="H236" s="448"/>
      <c r="I236" s="448"/>
      <c r="J236" s="448"/>
    </row>
    <row r="237" spans="1:21">
      <c r="B237" s="448"/>
      <c r="C237" s="448"/>
      <c r="D237" s="448"/>
      <c r="E237" s="448"/>
      <c r="F237" s="448"/>
      <c r="G237" s="448"/>
      <c r="H237" s="448"/>
      <c r="I237" s="448"/>
      <c r="J237" s="448"/>
    </row>
    <row r="238" spans="1:21" s="571" customFormat="1" ht="19.149999999999999" customHeight="1">
      <c r="A238" s="570" t="s">
        <v>51</v>
      </c>
    </row>
    <row r="241" spans="2:2" ht="19.5">
      <c r="B241" s="430"/>
    </row>
    <row r="242" spans="2:2" ht="19.5">
      <c r="B242" s="430"/>
    </row>
    <row r="243" spans="2:2" ht="19.5">
      <c r="B243" s="430"/>
    </row>
    <row r="244" spans="2:2" ht="19.5">
      <c r="B244" s="430"/>
    </row>
    <row r="245" spans="2:2" ht="19.5">
      <c r="B245" s="430"/>
    </row>
    <row r="246" spans="2:2" ht="19.5">
      <c r="B246" s="430"/>
    </row>
    <row r="247" spans="2:2" ht="19.5">
      <c r="B247" s="430"/>
    </row>
  </sheetData>
  <mergeCells count="234">
    <mergeCell ref="B216:D216"/>
    <mergeCell ref="B215:D215"/>
    <mergeCell ref="B214:D214"/>
    <mergeCell ref="B213:D213"/>
    <mergeCell ref="B212:D212"/>
    <mergeCell ref="B211:D211"/>
    <mergeCell ref="B210:D210"/>
    <mergeCell ref="B209:D209"/>
    <mergeCell ref="B218:D218"/>
    <mergeCell ref="B217:D217"/>
    <mergeCell ref="B199:D199"/>
    <mergeCell ref="B198:D198"/>
    <mergeCell ref="B207:D207"/>
    <mergeCell ref="B206:D206"/>
    <mergeCell ref="B205:D205"/>
    <mergeCell ref="B203:D203"/>
    <mergeCell ref="B202:D202"/>
    <mergeCell ref="B200:D200"/>
    <mergeCell ref="B201:D201"/>
    <mergeCell ref="B196:D196"/>
    <mergeCell ref="B195:D195"/>
    <mergeCell ref="B194:D194"/>
    <mergeCell ref="B193:D193"/>
    <mergeCell ref="B192:D192"/>
    <mergeCell ref="B191:D191"/>
    <mergeCell ref="B190:D190"/>
    <mergeCell ref="B189:D189"/>
    <mergeCell ref="B197:D197"/>
    <mergeCell ref="B134:D134"/>
    <mergeCell ref="B135:D135"/>
    <mergeCell ref="B136:D136"/>
    <mergeCell ref="B138:D138"/>
    <mergeCell ref="B125:D125"/>
    <mergeCell ref="B126:D126"/>
    <mergeCell ref="B127:D127"/>
    <mergeCell ref="B128:D128"/>
    <mergeCell ref="B129:D129"/>
    <mergeCell ref="B130:D130"/>
    <mergeCell ref="B131:D131"/>
    <mergeCell ref="B132:D132"/>
    <mergeCell ref="B133:D133"/>
    <mergeCell ref="B137:D137"/>
    <mergeCell ref="B162:D162"/>
    <mergeCell ref="B161:D161"/>
    <mergeCell ref="B169:D169"/>
    <mergeCell ref="B168:D168"/>
    <mergeCell ref="B167:D167"/>
    <mergeCell ref="B166:D166"/>
    <mergeCell ref="B165:D165"/>
    <mergeCell ref="B164:D164"/>
    <mergeCell ref="B163:D163"/>
    <mergeCell ref="B170:D170"/>
    <mergeCell ref="B171:D171"/>
    <mergeCell ref="B178:D178"/>
    <mergeCell ref="B177:D177"/>
    <mergeCell ref="B176:D176"/>
    <mergeCell ref="B175:D175"/>
    <mergeCell ref="B174:D174"/>
    <mergeCell ref="B173:D173"/>
    <mergeCell ref="B188:D188"/>
    <mergeCell ref="B187:D187"/>
    <mergeCell ref="B186:D186"/>
    <mergeCell ref="B185:D185"/>
    <mergeCell ref="B183:D183"/>
    <mergeCell ref="B182:D182"/>
    <mergeCell ref="B181:D181"/>
    <mergeCell ref="B180:D180"/>
    <mergeCell ref="B179:D179"/>
    <mergeCell ref="B184:D184"/>
    <mergeCell ref="B172:D172"/>
    <mergeCell ref="B86:D86"/>
    <mergeCell ref="B87:D87"/>
    <mergeCell ref="B88:D88"/>
    <mergeCell ref="B116:D116"/>
    <mergeCell ref="B117:D117"/>
    <mergeCell ref="B118:D118"/>
    <mergeCell ref="B119:D119"/>
    <mergeCell ref="B120:D120"/>
    <mergeCell ref="B121:D121"/>
    <mergeCell ref="B93:D93"/>
    <mergeCell ref="B89:D89"/>
    <mergeCell ref="B90:D90"/>
    <mergeCell ref="B94:D94"/>
    <mergeCell ref="B98:D98"/>
    <mergeCell ref="B102:D102"/>
    <mergeCell ref="B103:D103"/>
    <mergeCell ref="B107:D107"/>
    <mergeCell ref="B123:D123"/>
    <mergeCell ref="B124:D124"/>
    <mergeCell ref="B75:D75"/>
    <mergeCell ref="B18:D18"/>
    <mergeCell ref="B17:D17"/>
    <mergeCell ref="B16:D16"/>
    <mergeCell ref="B15:D15"/>
    <mergeCell ref="B14:D14"/>
    <mergeCell ref="B28:D28"/>
    <mergeCell ref="B27:D27"/>
    <mergeCell ref="B26:D26"/>
    <mergeCell ref="B74:D74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38:D38"/>
    <mergeCell ref="B39:D39"/>
    <mergeCell ref="B48:D48"/>
    <mergeCell ref="B50:D50"/>
    <mergeCell ref="B8:D8"/>
    <mergeCell ref="B7:D7"/>
    <mergeCell ref="B22:D22"/>
    <mergeCell ref="B21:D21"/>
    <mergeCell ref="B20:D20"/>
    <mergeCell ref="B36:D36"/>
    <mergeCell ref="B35:D35"/>
    <mergeCell ref="B34:D34"/>
    <mergeCell ref="B33:D33"/>
    <mergeCell ref="B32:D32"/>
    <mergeCell ref="B31:D31"/>
    <mergeCell ref="B30:D30"/>
    <mergeCell ref="B29:D29"/>
    <mergeCell ref="B40:D40"/>
    <mergeCell ref="B37:D37"/>
    <mergeCell ref="B25:D25"/>
    <mergeCell ref="B24:D24"/>
    <mergeCell ref="B23:D23"/>
    <mergeCell ref="D2:M2"/>
    <mergeCell ref="M4:P4"/>
    <mergeCell ref="G4:H4"/>
    <mergeCell ref="K4:L4"/>
    <mergeCell ref="I4:J4"/>
    <mergeCell ref="E4:F4"/>
    <mergeCell ref="B114:D114"/>
    <mergeCell ref="B115:D115"/>
    <mergeCell ref="B122:D122"/>
    <mergeCell ref="B108:D108"/>
    <mergeCell ref="B109:D109"/>
    <mergeCell ref="B110:D110"/>
    <mergeCell ref="B111:D111"/>
    <mergeCell ref="B104:D104"/>
    <mergeCell ref="B105:D105"/>
    <mergeCell ref="B106:D106"/>
    <mergeCell ref="B112:D112"/>
    <mergeCell ref="B113:D113"/>
    <mergeCell ref="B95:D95"/>
    <mergeCell ref="B96:D96"/>
    <mergeCell ref="B97:D97"/>
    <mergeCell ref="B99:D99"/>
    <mergeCell ref="B100:D100"/>
    <mergeCell ref="B101:D101"/>
    <mergeCell ref="A4:A5"/>
    <mergeCell ref="B9:D9"/>
    <mergeCell ref="B73:D73"/>
    <mergeCell ref="B6:D6"/>
    <mergeCell ref="B4:D5"/>
    <mergeCell ref="B10:D10"/>
    <mergeCell ref="B11:D11"/>
    <mergeCell ref="B56:D56"/>
    <mergeCell ref="B57:D57"/>
    <mergeCell ref="B58:D58"/>
    <mergeCell ref="B59:D59"/>
    <mergeCell ref="B60:D60"/>
    <mergeCell ref="B61:D61"/>
    <mergeCell ref="B68:D68"/>
    <mergeCell ref="B69:D69"/>
    <mergeCell ref="B70:D70"/>
    <mergeCell ref="B12:D12"/>
    <mergeCell ref="B13:D13"/>
    <mergeCell ref="B41:D41"/>
    <mergeCell ref="B42:D42"/>
    <mergeCell ref="B19:D19"/>
    <mergeCell ref="B71:D71"/>
    <mergeCell ref="B72:D72"/>
    <mergeCell ref="B47:D47"/>
    <mergeCell ref="A228:D228"/>
    <mergeCell ref="A238:XFD238"/>
    <mergeCell ref="B233:D233"/>
    <mergeCell ref="G233:I233"/>
    <mergeCell ref="K233:M233"/>
    <mergeCell ref="K234:M234"/>
    <mergeCell ref="B234:D234"/>
    <mergeCell ref="B219:D219"/>
    <mergeCell ref="B220:D220"/>
    <mergeCell ref="B221:D221"/>
    <mergeCell ref="B223:D223"/>
    <mergeCell ref="B225:D225"/>
    <mergeCell ref="B222:D222"/>
    <mergeCell ref="B227:D227"/>
    <mergeCell ref="B226:D226"/>
    <mergeCell ref="B224:D224"/>
    <mergeCell ref="B152:D152"/>
    <mergeCell ref="B153:D153"/>
    <mergeCell ref="B158:D158"/>
    <mergeCell ref="B139:D139"/>
    <mergeCell ref="B140:D140"/>
    <mergeCell ref="B141:D141"/>
    <mergeCell ref="B142:D142"/>
    <mergeCell ref="B143:D143"/>
    <mergeCell ref="B144:D144"/>
    <mergeCell ref="B145:D145"/>
    <mergeCell ref="B146:D146"/>
    <mergeCell ref="B147:D147"/>
    <mergeCell ref="B150:D150"/>
    <mergeCell ref="B148:D148"/>
    <mergeCell ref="B149:D149"/>
    <mergeCell ref="B208:D208"/>
    <mergeCell ref="B67:D67"/>
    <mergeCell ref="B45:D45"/>
    <mergeCell ref="B44:D44"/>
    <mergeCell ref="B43:D43"/>
    <mergeCell ref="B55:D55"/>
    <mergeCell ref="B54:D54"/>
    <mergeCell ref="B53:D53"/>
    <mergeCell ref="B52:D52"/>
    <mergeCell ref="B51:D51"/>
    <mergeCell ref="B49:D49"/>
    <mergeCell ref="B46:D46"/>
    <mergeCell ref="B66:D66"/>
    <mergeCell ref="B65:D65"/>
    <mergeCell ref="B64:D64"/>
    <mergeCell ref="B63:D63"/>
    <mergeCell ref="B62:D62"/>
    <mergeCell ref="B159:D159"/>
    <mergeCell ref="B160:D160"/>
    <mergeCell ref="B154:D154"/>
    <mergeCell ref="B155:D155"/>
    <mergeCell ref="B156:D156"/>
    <mergeCell ref="B157:D157"/>
    <mergeCell ref="B151:D151"/>
  </mergeCells>
  <phoneticPr fontId="6" type="noConversion"/>
  <hyperlinks>
    <hyperlink ref="B223" r:id="rId1" display="https://www.dzo.com.ua/tenders/20078403"/>
    <hyperlink ref="B225" r:id="rId2" display="https://www.dzo.com.ua/tenders/20078403"/>
    <hyperlink ref="B227" r:id="rId3" display="https://www.dzo.com.ua/tenders/20078403"/>
  </hyperlinks>
  <pageMargins left="0.39370078740157483" right="0.39370078740157483" top="0.78740157480314965" bottom="0.39370078740157483" header="0.19685039370078741" footer="0.31496062992125984"/>
  <pageSetup paperSize="9" scale="47" fitToHeight="3" orientation="landscape" verticalDpi="1200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12</vt:i4>
      </vt:variant>
    </vt:vector>
  </HeadingPairs>
  <TitlesOfParts>
    <vt:vector size="18" baseType="lpstr">
      <vt:lpstr>Звіт про виконання показ фінпла</vt:lpstr>
      <vt:lpstr>Розшифровка 1 до Формування</vt:lpstr>
      <vt:lpstr>Розшифровка 2 до формування</vt:lpstr>
      <vt:lpstr>Рух грошових коштів  </vt:lpstr>
      <vt:lpstr>Розшифровка кап</vt:lpstr>
      <vt:lpstr>Розшифровка за джерелами</vt:lpstr>
      <vt:lpstr>'Звіт про виконання показ фінпла'!Заголовки_для_печати</vt:lpstr>
      <vt:lpstr>'Розшифровка 1 до Формування'!Заголовки_для_печати</vt:lpstr>
      <vt:lpstr>'Розшифровка 2 до формування'!Заголовки_для_печати</vt:lpstr>
      <vt:lpstr>'Розшифровка за джерелами'!Заголовки_для_печати</vt:lpstr>
      <vt:lpstr>'Розшифровка кап'!Заголовки_для_печати</vt:lpstr>
      <vt:lpstr>'Рух грошових коштів  '!Заголовки_для_печати</vt:lpstr>
      <vt:lpstr>'Звіт про виконання показ фінпла'!Область_печати</vt:lpstr>
      <vt:lpstr>'Розшифровка 1 до Формування'!Область_печати</vt:lpstr>
      <vt:lpstr>'Розшифровка 2 до формування'!Область_печати</vt:lpstr>
      <vt:lpstr>'Розшифровка за джерелами'!Область_печати</vt:lpstr>
      <vt:lpstr>'Розшифровка кап'!Область_печати</vt:lpstr>
      <vt:lpstr>'Рух грошових коштів 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CMtaD</cp:lastModifiedBy>
  <cp:lastPrinted>2025-03-18T10:35:31Z</cp:lastPrinted>
  <dcterms:created xsi:type="dcterms:W3CDTF">2003-03-13T16:00:22Z</dcterms:created>
  <dcterms:modified xsi:type="dcterms:W3CDTF">2025-03-19T07:29:31Z</dcterms:modified>
</cp:coreProperties>
</file>